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ho\Downloads\"/>
    </mc:Choice>
  </mc:AlternateContent>
  <xr:revisionPtr revIDLastSave="0" documentId="8_{F1F3B76D-A5D2-4523-A49B-7FBFE734B73B}" xr6:coauthVersionLast="47" xr6:coauthVersionMax="47" xr10:uidLastSave="{00000000-0000-0000-0000-000000000000}"/>
  <bookViews>
    <workbookView xWindow="-120" yWindow="-120" windowWidth="20730" windowHeight="11040" tabRatio="743" firstSheet="3" activeTab="3" xr2:uid="{00000000-000D-0000-FFFF-FFFF00000000}"/>
  </bookViews>
  <sheets>
    <sheet name="Comparables" sheetId="26" r:id="rId1"/>
    <sheet name="WACCtemplate " sheetId="8" r:id="rId2"/>
    <sheet name="DCFStand Alone" sheetId="11" r:id="rId3"/>
    <sheet name="FootballField" sheetId="10" r:id="rId4"/>
    <sheet name="Netflix Bonds" sheetId="25" r:id="rId5"/>
    <sheet name="DCF Assumptions" sheetId="4" r:id="rId6"/>
    <sheet name="Income Statement" sheetId="17" r:id="rId7"/>
    <sheet name="Terminal Growth Rate" sheetId="23" r:id="rId8"/>
    <sheet name="Balance Sheet" sheetId="18" r:id="rId9"/>
    <sheet name="Cash Flow" sheetId="19" r:id="rId10"/>
    <sheet name="Lease Captialization" sheetId="2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 localSheetId="3">#REF!</definedName>
    <definedName name="a" localSheetId="1">#REF!</definedName>
    <definedName name="a">#REF!</definedName>
    <definedName name="acq">'[1]Exhange Ratio'!$X$10</definedName>
    <definedName name="Annual" localSheetId="3">[2]IS!#REF!</definedName>
    <definedName name="Annual" localSheetId="1">[3]IS!#REF!</definedName>
    <definedName name="Annual">[4]IS!#REF!</definedName>
    <definedName name="austinstep">#REF!</definedName>
    <definedName name="AustinSum">#REF!</definedName>
    <definedName name="B" localSheetId="3">#REF!</definedName>
    <definedName name="B" localSheetId="1">#REF!</definedName>
    <definedName name="B">#REF!</definedName>
    <definedName name="Balancesheet" localSheetId="3">[2]IS!#REF!</definedName>
    <definedName name="Balancesheet" localSheetId="1">[3]IS!#REF!</definedName>
    <definedName name="Balancesheet">[4]IS!#REF!</definedName>
    <definedName name="cash">'DCF Assumptions'!$L$10</definedName>
    <definedName name="Comprables" localSheetId="3">#REF!</definedName>
    <definedName name="Comprables" localSheetId="1">#REF!</definedName>
    <definedName name="Comprables">#REF!</definedName>
    <definedName name="conf" localSheetId="3">#REF!</definedName>
    <definedName name="conf" localSheetId="1">#REF!</definedName>
    <definedName name="conf">#REF!</definedName>
    <definedName name="d" localSheetId="3">#REF!</definedName>
    <definedName name="d" localSheetId="1">#REF!</definedName>
    <definedName name="d">#REF!</definedName>
    <definedName name="debt">'DCF Assumptions'!$L$7</definedName>
    <definedName name="Enterprise_Value">'[5]LTM Price'!$E$50</definedName>
    <definedName name="F" localSheetId="3">#REF!</definedName>
    <definedName name="F" localSheetId="1">#REF!</definedName>
    <definedName name="F">#REF!</definedName>
    <definedName name="FirstCall" localSheetId="3">#REF!</definedName>
    <definedName name="FirstCall" localSheetId="1">#REF!</definedName>
    <definedName name="FirstCall">#REF!</definedName>
    <definedName name="FYE">'DCF Assumptions'!$F$7</definedName>
    <definedName name="growth.rate" localSheetId="3">[2]DCFTV!#REF!</definedName>
    <definedName name="growth.rate" localSheetId="1">[4]DCFTV!#REF!</definedName>
    <definedName name="growth.rate">[4]DCFTV!#REF!</definedName>
    <definedName name="high">'DCF Assumptions'!$L$11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" hidden="1">100000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"c1304"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MES_REVISION_DATE_" hidden="1">40168.7040740741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NUSUAL_EXP" hidden="1">"c18"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low">'DCF Assumptions'!$L$12</definedName>
    <definedName name="m" localSheetId="3">#REF!</definedName>
    <definedName name="m" localSheetId="1">#REF!</definedName>
    <definedName name="m">#REF!</definedName>
    <definedName name="mininterest">'DCF Assumptions'!$L$9</definedName>
    <definedName name="multiple">'DCF Assumptions'!$F$12</definedName>
    <definedName name="Name">'DCF Assumptions'!$F$5</definedName>
    <definedName name="Output" localSheetId="3">[6]Equity!#REF!</definedName>
    <definedName name="Output" localSheetId="1">[7]Equity!#REF!</definedName>
    <definedName name="Output">[7]Equity!#REF!</definedName>
    <definedName name="OUTPUT2">[5]Equity!#REF!</definedName>
    <definedName name="Page_3">[8]Multiples!#REF!</definedName>
    <definedName name="prefstock">'DCF Assumptions'!$L$8</definedName>
    <definedName name="price" localSheetId="3">[2]IS!#REF!</definedName>
    <definedName name="price" localSheetId="1">[3]IS!#REF!</definedName>
    <definedName name="price">[4]IS!#REF!</definedName>
    <definedName name="_xlnm.Print_Area" localSheetId="5">'DCF Assumptions'!$A$1:$Q$13</definedName>
    <definedName name="_xlnm.Print_Area" localSheetId="2">'DCFStand Alone'!$A$1:$AE$45</definedName>
    <definedName name="_xlnm.Print_Area" localSheetId="3">FootballField!$B$1:$L$31</definedName>
    <definedName name="_xlnm.Print_Area" localSheetId="1">'WACCtemplate '!$A$1:$W$64</definedName>
    <definedName name="_xlnm.Print_Titles" localSheetId="8">'Balance Sheet'!$1:$3</definedName>
    <definedName name="_xlnm.Print_Titles" localSheetId="6">'Income Statement'!$1:$3</definedName>
    <definedName name="Printsheet" localSheetId="2">[9]!Printsheet</definedName>
    <definedName name="Printsheet" localSheetId="3">[9]!Printsheet</definedName>
    <definedName name="Printsheet" localSheetId="1">[9]!Printsheet</definedName>
    <definedName name="Printsheet">[9]!Printsheet</definedName>
    <definedName name="q" localSheetId="3">#REF!</definedName>
    <definedName name="q" localSheetId="1">#REF!</definedName>
    <definedName name="q">#REF!</definedName>
    <definedName name="qvq" localSheetId="3">#REF!</definedName>
    <definedName name="qvq" localSheetId="1">#REF!</definedName>
    <definedName name="qvq">#REF!</definedName>
    <definedName name="qvqwithc" localSheetId="3">#REF!</definedName>
    <definedName name="qvqwithc" localSheetId="1">#REF!</definedName>
    <definedName name="qvqwithc">#REF!</definedName>
    <definedName name="rate">'DCF Assumptions'!$F$11</definedName>
    <definedName name="rp" localSheetId="3">[10]IS!#REF!</definedName>
    <definedName name="rp" localSheetId="1">[10]IS!#REF!</definedName>
    <definedName name="rp">[10]IS!#REF!</definedName>
    <definedName name="sastep">#REF!</definedName>
    <definedName name="sasum">#REF!</definedName>
    <definedName name="sd" localSheetId="3">[2]IS!#REF!</definedName>
    <definedName name="sd" localSheetId="1">[3]IS!#REF!</definedName>
    <definedName name="sd">[4]IS!#REF!</definedName>
    <definedName name="sd.old" localSheetId="3">[2]IS!#REF!</definedName>
    <definedName name="sd.old" localSheetId="1">[3]IS!#REF!</definedName>
    <definedName name="sd.old">[4]IS!#REF!</definedName>
    <definedName name="Sesitivity_Analysis_Austin">#REF!</definedName>
    <definedName name="shareprice">'DCF Assumptions'!$L$5</definedName>
    <definedName name="sharesout">'DCF Assumptions'!$L$6</definedName>
    <definedName name="solver_eng" localSheetId="1" hidden="1">1</definedName>
    <definedName name="solver_neg" localSheetId="1" hidden="1">1</definedName>
    <definedName name="solver_num" localSheetId="1" hidden="1">0</definedName>
    <definedName name="solver_opt" localSheetId="1" hidden="1">'WACCtemplate '!$H$22</definedName>
    <definedName name="solver_typ" localSheetId="1" hidden="1">1</definedName>
    <definedName name="solver_val" localSheetId="1" hidden="1">0</definedName>
    <definedName name="solver_ver" localSheetId="1" hidden="1">3</definedName>
    <definedName name="stock_price_date" localSheetId="3">'[11]Comp Inputs'!$E$2</definedName>
    <definedName name="stock_price_date">'[12]Comp Inputs'!$E$2</definedName>
    <definedName name="Subheader">'DCF Assumptions'!$F$6</definedName>
    <definedName name="targ">'[1]Exhange Ratio'!$W$10</definedName>
    <definedName name="target">'DCF Assumptions'!$L$13</definedName>
    <definedName name="tax">'DCF Assumptions'!$F$8</definedName>
    <definedName name="termgrowth">'DCF Assumptions'!$F$10</definedName>
    <definedName name="TICKER">'[5]LTM Price'!$A$10</definedName>
    <definedName name="ticker2">[13]Input!$H$4</definedName>
    <definedName name="ticker4">[13]Ownership!$C$58</definedName>
    <definedName name="valdate">'DCF Assumptions'!$F$9</definedName>
    <definedName name="yield">'DCF Assumptions'!$F$13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6" l="1"/>
  <c r="D25" i="26"/>
  <c r="D24" i="26"/>
  <c r="D23" i="26"/>
  <c r="D22" i="26"/>
  <c r="H19" i="26"/>
  <c r="C19" i="26" s="1"/>
  <c r="I14" i="11"/>
  <c r="C16" i="23"/>
  <c r="G19" i="17" s="1"/>
  <c r="I19" i="17" s="1"/>
  <c r="J19" i="17" s="1"/>
  <c r="K19" i="17" s="1"/>
  <c r="C15" i="23"/>
  <c r="G20" i="17" s="1"/>
  <c r="I20" i="17" s="1"/>
  <c r="H6" i="8"/>
  <c r="J19" i="11"/>
  <c r="J20" i="23"/>
  <c r="D5" i="23" s="1"/>
  <c r="C9" i="23" s="1"/>
  <c r="G62" i="17"/>
  <c r="L16" i="21"/>
  <c r="L15" i="21"/>
  <c r="H15" i="21"/>
  <c r="L14" i="21"/>
  <c r="H14" i="21"/>
  <c r="L13" i="21"/>
  <c r="H13" i="21"/>
  <c r="G13" i="21"/>
  <c r="H16" i="21" s="1"/>
  <c r="L12" i="21"/>
  <c r="L11" i="21"/>
  <c r="L10" i="21"/>
  <c r="L9" i="21"/>
  <c r="L8" i="21"/>
  <c r="Y17" i="19"/>
  <c r="U16" i="19"/>
  <c r="O16" i="19"/>
  <c r="I16" i="19"/>
  <c r="W15" i="19"/>
  <c r="W16" i="19" s="1"/>
  <c r="U15" i="19"/>
  <c r="O15" i="19"/>
  <c r="J15" i="19"/>
  <c r="J16" i="19" s="1"/>
  <c r="I15" i="19"/>
  <c r="U13" i="19"/>
  <c r="G75" i="18"/>
  <c r="F75" i="18"/>
  <c r="E75" i="18"/>
  <c r="L75" i="18" s="1"/>
  <c r="L74" i="18" s="1"/>
  <c r="L76" i="18" s="1"/>
  <c r="D75" i="18"/>
  <c r="K75" i="18" s="1"/>
  <c r="K74" i="18" s="1"/>
  <c r="K76" i="18" s="1"/>
  <c r="C75" i="18"/>
  <c r="J75" i="18" s="1"/>
  <c r="B75" i="18"/>
  <c r="I75" i="18" s="1"/>
  <c r="G48" i="18"/>
  <c r="F48" i="18"/>
  <c r="E48" i="18"/>
  <c r="D48" i="18"/>
  <c r="C48" i="18"/>
  <c r="B48" i="18"/>
  <c r="G30" i="18"/>
  <c r="F30" i="18"/>
  <c r="E30" i="18"/>
  <c r="D30" i="18"/>
  <c r="C30" i="18"/>
  <c r="B30" i="18"/>
  <c r="G90" i="17"/>
  <c r="F90" i="17"/>
  <c r="E90" i="17"/>
  <c r="D90" i="17"/>
  <c r="C90" i="17"/>
  <c r="B90" i="17"/>
  <c r="G87" i="17"/>
  <c r="F87" i="17"/>
  <c r="E87" i="17"/>
  <c r="D87" i="17"/>
  <c r="C87" i="17"/>
  <c r="B87" i="17"/>
  <c r="G65" i="17"/>
  <c r="F65" i="17"/>
  <c r="E65" i="17"/>
  <c r="D65" i="17"/>
  <c r="C65" i="17"/>
  <c r="B65" i="17"/>
  <c r="F62" i="17"/>
  <c r="E62" i="17"/>
  <c r="D62" i="17"/>
  <c r="C62" i="17"/>
  <c r="B62" i="17"/>
  <c r="J45" i="17"/>
  <c r="K45" i="17" s="1"/>
  <c r="L45" i="17" s="1"/>
  <c r="M45" i="17" s="1"/>
  <c r="N45" i="17" s="1"/>
  <c r="O45" i="17" s="1"/>
  <c r="P45" i="17" s="1"/>
  <c r="Q45" i="17" s="1"/>
  <c r="R45" i="17" s="1"/>
  <c r="G40" i="17"/>
  <c r="F40" i="17"/>
  <c r="E40" i="17"/>
  <c r="D40" i="17"/>
  <c r="C40" i="17"/>
  <c r="B40" i="17"/>
  <c r="AD36" i="17"/>
  <c r="G34" i="17"/>
  <c r="F34" i="17"/>
  <c r="E34" i="17"/>
  <c r="D34" i="17"/>
  <c r="C34" i="17"/>
  <c r="B34" i="17"/>
  <c r="G32" i="17"/>
  <c r="F32" i="17"/>
  <c r="E32" i="17"/>
  <c r="D32" i="17"/>
  <c r="C32" i="17"/>
  <c r="B32" i="17"/>
  <c r="G30" i="17"/>
  <c r="F30" i="17"/>
  <c r="E30" i="17"/>
  <c r="D30" i="17"/>
  <c r="C30" i="17"/>
  <c r="B30" i="17"/>
  <c r="F23" i="17"/>
  <c r="E23" i="17"/>
  <c r="D23" i="17"/>
  <c r="C23" i="17"/>
  <c r="B23" i="17"/>
  <c r="L7" i="4"/>
  <c r="D19" i="26" l="1"/>
  <c r="F12" i="4" s="1"/>
  <c r="E22" i="26"/>
  <c r="F22" i="26" s="1"/>
  <c r="E24" i="26"/>
  <c r="F24" i="26" s="1"/>
  <c r="J20" i="17"/>
  <c r="K20" i="17" s="1"/>
  <c r="L20" i="17" s="1"/>
  <c r="M20" i="17" s="1"/>
  <c r="N20" i="17" s="1"/>
  <c r="O20" i="17" s="1"/>
  <c r="P20" i="17" s="1"/>
  <c r="P14" i="11"/>
  <c r="O14" i="11"/>
  <c r="N14" i="11"/>
  <c r="M14" i="11"/>
  <c r="L14" i="11"/>
  <c r="K14" i="11"/>
  <c r="J14" i="11"/>
  <c r="I22" i="17"/>
  <c r="E49" i="18"/>
  <c r="H40" i="17"/>
  <c r="D49" i="18"/>
  <c r="G23" i="17"/>
  <c r="L18" i="21"/>
  <c r="L19" i="21" s="1"/>
  <c r="H30" i="17"/>
  <c r="I31" i="17" s="1"/>
  <c r="C49" i="18"/>
  <c r="X22" i="19"/>
  <c r="B49" i="18"/>
  <c r="G49" i="18"/>
  <c r="H23" i="17"/>
  <c r="H61" i="17"/>
  <c r="H89" i="17"/>
  <c r="I89" i="17" s="1"/>
  <c r="J89" i="17" s="1"/>
  <c r="K89" i="17" s="1"/>
  <c r="L89" i="17" s="1"/>
  <c r="M89" i="17" s="1"/>
  <c r="N89" i="17" s="1"/>
  <c r="O89" i="17" s="1"/>
  <c r="P89" i="17" s="1"/>
  <c r="Q89" i="17" s="1"/>
  <c r="R89" i="17" s="1"/>
  <c r="S90" i="17" s="1"/>
  <c r="T90" i="17" s="1"/>
  <c r="F49" i="18"/>
  <c r="H32" i="17"/>
  <c r="H65" i="17"/>
  <c r="H86" i="17"/>
  <c r="I86" i="17" s="1"/>
  <c r="J86" i="17" s="1"/>
  <c r="X21" i="19"/>
  <c r="H17" i="21"/>
  <c r="E18" i="21" s="1"/>
  <c r="I74" i="18"/>
  <c r="I76" i="18" s="1"/>
  <c r="M75" i="18"/>
  <c r="M74" i="18" s="1"/>
  <c r="M76" i="18" s="1"/>
  <c r="J74" i="18"/>
  <c r="J76" i="18" s="1"/>
  <c r="N75" i="18"/>
  <c r="N74" i="18" s="1"/>
  <c r="N76" i="18" s="1"/>
  <c r="E23" i="26" l="1"/>
  <c r="F23" i="26" s="1"/>
  <c r="L19" i="17"/>
  <c r="M19" i="17" s="1"/>
  <c r="N19" i="17" s="1"/>
  <c r="O19" i="17" s="1"/>
  <c r="P19" i="17" s="1"/>
  <c r="Q19" i="17" s="1"/>
  <c r="R19" i="17" s="1"/>
  <c r="I44" i="17"/>
  <c r="I13" i="11" s="1"/>
  <c r="J22" i="17"/>
  <c r="K22" i="17"/>
  <c r="K44" i="17" s="1"/>
  <c r="K13" i="11" s="1"/>
  <c r="E50" i="18"/>
  <c r="F50" i="18"/>
  <c r="G50" i="18"/>
  <c r="C50" i="18"/>
  <c r="D50" i="18"/>
  <c r="I85" i="17"/>
  <c r="I60" i="17"/>
  <c r="I34" i="17"/>
  <c r="I43" i="17" s="1"/>
  <c r="I10" i="11" s="1"/>
  <c r="I32" i="17"/>
  <c r="I30" i="17"/>
  <c r="I88" i="17"/>
  <c r="I24" i="17"/>
  <c r="I27" i="17" s="1"/>
  <c r="K86" i="17"/>
  <c r="M22" i="17" l="1"/>
  <c r="M44" i="17" s="1"/>
  <c r="M13" i="11" s="1"/>
  <c r="L22" i="17"/>
  <c r="L44" i="17" s="1"/>
  <c r="L13" i="11" s="1"/>
  <c r="J60" i="17"/>
  <c r="J44" i="17"/>
  <c r="J13" i="11" s="1"/>
  <c r="J85" i="17"/>
  <c r="J24" i="17"/>
  <c r="J27" i="17" s="1"/>
  <c r="J32" i="17"/>
  <c r="J88" i="17"/>
  <c r="J34" i="17"/>
  <c r="J43" i="17" s="1"/>
  <c r="J10" i="11" s="1"/>
  <c r="J30" i="17"/>
  <c r="H50" i="18"/>
  <c r="I37" i="17"/>
  <c r="I39" i="17" s="1"/>
  <c r="K32" i="17"/>
  <c r="K30" i="17"/>
  <c r="K60" i="17"/>
  <c r="K88" i="17"/>
  <c r="K24" i="17"/>
  <c r="K27" i="17" s="1"/>
  <c r="K34" i="17"/>
  <c r="I36" i="17"/>
  <c r="T36" i="17" s="1"/>
  <c r="AE36" i="17" s="1"/>
  <c r="K85" i="17"/>
  <c r="L86" i="17"/>
  <c r="N22" i="17" l="1"/>
  <c r="N44" i="17" s="1"/>
  <c r="N13" i="11" s="1"/>
  <c r="J37" i="17"/>
  <c r="J39" i="17" s="1"/>
  <c r="J6" i="11" s="1"/>
  <c r="J36" i="17"/>
  <c r="U36" i="17" s="1"/>
  <c r="AF36" i="17" s="1"/>
  <c r="I6" i="11"/>
  <c r="I41" i="17"/>
  <c r="I42" i="17" s="1"/>
  <c r="I46" i="17" s="1"/>
  <c r="L32" i="17"/>
  <c r="L30" i="17"/>
  <c r="K37" i="17"/>
  <c r="K39" i="17" s="1"/>
  <c r="K6" i="11" s="1"/>
  <c r="L85" i="17"/>
  <c r="M86" i="17"/>
  <c r="K43" i="17"/>
  <c r="K10" i="11" s="1"/>
  <c r="K36" i="17"/>
  <c r="V36" i="17" s="1"/>
  <c r="AG36" i="17" s="1"/>
  <c r="L60" i="17"/>
  <c r="L88" i="17"/>
  <c r="L24" i="17"/>
  <c r="L27" i="17" s="1"/>
  <c r="L34" i="17"/>
  <c r="P22" i="17" l="1"/>
  <c r="P44" i="17" s="1"/>
  <c r="P13" i="11" s="1"/>
  <c r="O22" i="17"/>
  <c r="O44" i="17" s="1"/>
  <c r="O13" i="11" s="1"/>
  <c r="J41" i="17"/>
  <c r="J42" i="17" s="1"/>
  <c r="J46" i="17" s="1"/>
  <c r="L37" i="17"/>
  <c r="L39" i="17" s="1"/>
  <c r="L6" i="11" s="1"/>
  <c r="M30" i="17"/>
  <c r="M32" i="17"/>
  <c r="K41" i="17"/>
  <c r="K42" i="17" s="1"/>
  <c r="K46" i="17" s="1"/>
  <c r="L36" i="17"/>
  <c r="W36" i="17" s="1"/>
  <c r="AH36" i="17" s="1"/>
  <c r="L43" i="17"/>
  <c r="L10" i="11" s="1"/>
  <c r="M88" i="17"/>
  <c r="M24" i="17"/>
  <c r="M27" i="17" s="1"/>
  <c r="M60" i="17"/>
  <c r="M34" i="17"/>
  <c r="M85" i="17"/>
  <c r="N86" i="17"/>
  <c r="L41" i="17" l="1"/>
  <c r="L42" i="17" s="1"/>
  <c r="L46" i="17" s="1"/>
  <c r="N32" i="17"/>
  <c r="N30" i="17"/>
  <c r="M37" i="17"/>
  <c r="M39" i="17" s="1"/>
  <c r="N24" i="17"/>
  <c r="N27" i="17" s="1"/>
  <c r="N88" i="17"/>
  <c r="N34" i="17"/>
  <c r="N60" i="17"/>
  <c r="M36" i="17"/>
  <c r="X36" i="17" s="1"/>
  <c r="AI36" i="17" s="1"/>
  <c r="M43" i="17"/>
  <c r="M10" i="11" s="1"/>
  <c r="O86" i="17"/>
  <c r="N85" i="17"/>
  <c r="N37" i="17" l="1"/>
  <c r="N39" i="17" s="1"/>
  <c r="M6" i="11"/>
  <c r="M41" i="17"/>
  <c r="M42" i="17" s="1"/>
  <c r="M46" i="17" s="1"/>
  <c r="O32" i="17"/>
  <c r="O30" i="17"/>
  <c r="N36" i="17"/>
  <c r="Y36" i="17" s="1"/>
  <c r="AJ36" i="17" s="1"/>
  <c r="N43" i="17"/>
  <c r="N10" i="11" s="1"/>
  <c r="P86" i="17"/>
  <c r="O85" i="17"/>
  <c r="Q18" i="17"/>
  <c r="O34" i="17"/>
  <c r="O24" i="17"/>
  <c r="O27" i="17" s="1"/>
  <c r="O60" i="17"/>
  <c r="O88" i="17"/>
  <c r="N6" i="11" l="1"/>
  <c r="N41" i="17"/>
  <c r="N42" i="17" s="1"/>
  <c r="N46" i="17" s="1"/>
  <c r="O37" i="17"/>
  <c r="O39" i="17" s="1"/>
  <c r="P32" i="17"/>
  <c r="P30" i="17"/>
  <c r="P34" i="17"/>
  <c r="P60" i="17"/>
  <c r="P88" i="17"/>
  <c r="P24" i="17"/>
  <c r="P27" i="17" s="1"/>
  <c r="R18" i="17"/>
  <c r="R22" i="17" s="1"/>
  <c r="Q22" i="17"/>
  <c r="Q86" i="17"/>
  <c r="P85" i="17"/>
  <c r="O36" i="17"/>
  <c r="Z36" i="17" s="1"/>
  <c r="AK36" i="17" s="1"/>
  <c r="O43" i="17"/>
  <c r="O10" i="11" s="1"/>
  <c r="O6" i="11" l="1"/>
  <c r="O41" i="17"/>
  <c r="O42" i="17" s="1"/>
  <c r="O46" i="17" s="1"/>
  <c r="P37" i="17"/>
  <c r="P39" i="17" s="1"/>
  <c r="R86" i="17"/>
  <c r="Q85" i="17"/>
  <c r="R34" i="17"/>
  <c r="R32" i="17"/>
  <c r="R44" i="17"/>
  <c r="R30" i="17"/>
  <c r="R60" i="17"/>
  <c r="R88" i="17"/>
  <c r="R24" i="17"/>
  <c r="R27" i="17" s="1"/>
  <c r="R39" i="17"/>
  <c r="P36" i="17"/>
  <c r="AA36" i="17" s="1"/>
  <c r="AL36" i="17" s="1"/>
  <c r="P43" i="17"/>
  <c r="P10" i="11" s="1"/>
  <c r="Q44" i="17"/>
  <c r="Q34" i="17"/>
  <c r="Q32" i="17"/>
  <c r="Q30" i="17"/>
  <c r="Q60" i="17"/>
  <c r="Q39" i="17"/>
  <c r="Q88" i="17"/>
  <c r="Q24" i="17"/>
  <c r="Q27" i="17" s="1"/>
  <c r="R37" i="17" l="1"/>
  <c r="Q37" i="17"/>
  <c r="P6" i="11"/>
  <c r="J22" i="11" s="1"/>
  <c r="P41" i="17"/>
  <c r="P42" i="17" s="1"/>
  <c r="P46" i="17" s="1"/>
  <c r="Q41" i="17"/>
  <c r="Q42" i="17" s="1"/>
  <c r="Q43" i="17"/>
  <c r="Q36" i="17"/>
  <c r="AB36" i="17" s="1"/>
  <c r="AM36" i="17" s="1"/>
  <c r="R43" i="17"/>
  <c r="R36" i="17"/>
  <c r="AC36" i="17" s="1"/>
  <c r="R41" i="17"/>
  <c r="R42" i="17" s="1"/>
  <c r="R85" i="17"/>
  <c r="S87" i="17"/>
  <c r="H20" i="8"/>
  <c r="J21" i="11"/>
  <c r="Q46" i="17" l="1"/>
  <c r="R46" i="17"/>
  <c r="T87" i="17"/>
  <c r="T86" i="17" s="1"/>
  <c r="S86" i="17"/>
  <c r="V43" i="11" l="1"/>
  <c r="V42" i="11"/>
  <c r="V41" i="11"/>
  <c r="V40" i="11"/>
  <c r="V39" i="11"/>
  <c r="AC38" i="11"/>
  <c r="AD38" i="11" s="1"/>
  <c r="Y38" i="11"/>
  <c r="Z38" i="11" s="1"/>
  <c r="AC29" i="11"/>
  <c r="AB29" i="11" s="1"/>
  <c r="Y29" i="11"/>
  <c r="X29" i="11" s="1"/>
  <c r="V29" i="11"/>
  <c r="V20" i="11"/>
  <c r="V19" i="11"/>
  <c r="V18" i="11"/>
  <c r="V17" i="11"/>
  <c r="V16" i="11"/>
  <c r="AC15" i="11"/>
  <c r="AD15" i="11" s="1"/>
  <c r="Y15" i="11"/>
  <c r="Z15" i="11" s="1"/>
  <c r="H14" i="11"/>
  <c r="G14" i="11"/>
  <c r="H13" i="11"/>
  <c r="G13" i="11"/>
  <c r="H12" i="11"/>
  <c r="G12" i="11"/>
  <c r="H11" i="11"/>
  <c r="G11" i="11"/>
  <c r="H10" i="11"/>
  <c r="G10" i="11"/>
  <c r="P7" i="11"/>
  <c r="P8" i="11" s="1"/>
  <c r="P15" i="11" s="1"/>
  <c r="O7" i="11"/>
  <c r="O8" i="11" s="1"/>
  <c r="O15" i="11" s="1"/>
  <c r="N7" i="11"/>
  <c r="N8" i="11" s="1"/>
  <c r="N15" i="11" s="1"/>
  <c r="M7" i="11"/>
  <c r="M8" i="11" s="1"/>
  <c r="M15" i="11" s="1"/>
  <c r="L7" i="11"/>
  <c r="L8" i="11" s="1"/>
  <c r="L15" i="11" s="1"/>
  <c r="K7" i="11"/>
  <c r="K8" i="11" s="1"/>
  <c r="K15" i="11" s="1"/>
  <c r="J7" i="11"/>
  <c r="J8" i="11" s="1"/>
  <c r="J15" i="11" s="1"/>
  <c r="I7" i="11"/>
  <c r="I8" i="11" s="1"/>
  <c r="I15" i="11" s="1"/>
  <c r="A7" i="11"/>
  <c r="AC6" i="11"/>
  <c r="AD6" i="11" s="1"/>
  <c r="Y6" i="11"/>
  <c r="H6" i="11"/>
  <c r="H7" i="11" s="1"/>
  <c r="G6" i="11"/>
  <c r="G8" i="11" s="1"/>
  <c r="G15" i="11" s="1"/>
  <c r="F6" i="11"/>
  <c r="F8" i="11" s="1"/>
  <c r="H5" i="11"/>
  <c r="G5" i="11"/>
  <c r="F5" i="11"/>
  <c r="F4" i="11"/>
  <c r="A2" i="11"/>
  <c r="T2" i="11" s="1"/>
  <c r="T1" i="11"/>
  <c r="A1" i="11"/>
  <c r="H8" i="11" l="1"/>
  <c r="H15" i="11" s="1"/>
  <c r="H16" i="11" s="1"/>
  <c r="AB6" i="11"/>
  <c r="X15" i="11"/>
  <c r="Z29" i="11"/>
  <c r="AD29" i="11"/>
  <c r="F7" i="11"/>
  <c r="X6" i="11"/>
  <c r="G7" i="11"/>
  <c r="Z6" i="11"/>
  <c r="X38" i="11"/>
  <c r="AB15" i="11"/>
  <c r="AB38" i="11"/>
  <c r="F9" i="4" l="1"/>
  <c r="D16" i="8"/>
  <c r="H16" i="8"/>
  <c r="D9" i="8"/>
  <c r="J26" i="8"/>
  <c r="J35" i="8" s="1"/>
  <c r="G38" i="8"/>
  <c r="E38" i="8"/>
  <c r="D38" i="8"/>
  <c r="C38" i="8"/>
  <c r="F35" i="8"/>
  <c r="F34" i="8"/>
  <c r="J32" i="8"/>
  <c r="E32" i="8" s="1"/>
  <c r="H32" i="8" s="1"/>
  <c r="J31" i="8"/>
  <c r="E31" i="8" s="1"/>
  <c r="H31" i="8" s="1"/>
  <c r="J30" i="8"/>
  <c r="E30" i="8" s="1"/>
  <c r="H30" i="8" s="1"/>
  <c r="J29" i="8"/>
  <c r="E29" i="8" s="1"/>
  <c r="H29" i="8" s="1"/>
  <c r="J28" i="8"/>
  <c r="E28" i="8" s="1"/>
  <c r="H28" i="8" s="1"/>
  <c r="J27" i="8"/>
  <c r="E27" i="8" s="1"/>
  <c r="H27" i="8" s="1"/>
  <c r="H9" i="8"/>
  <c r="A2" i="4"/>
  <c r="A1" i="4"/>
  <c r="H22" i="8" l="1"/>
  <c r="E26" i="8"/>
  <c r="J34" i="8"/>
  <c r="F11" i="4" l="1"/>
  <c r="T32" i="11" s="1"/>
  <c r="E35" i="8"/>
  <c r="E39" i="8" s="1"/>
  <c r="E34" i="8"/>
  <c r="H26" i="8"/>
  <c r="T18" i="11" l="1"/>
  <c r="T41" i="11"/>
  <c r="T9" i="11"/>
  <c r="H34" i="8"/>
  <c r="H35" i="8"/>
  <c r="T42" i="11" l="1"/>
  <c r="T43" i="11" s="1"/>
  <c r="T40" i="11"/>
  <c r="T39" i="11" s="1"/>
  <c r="T8" i="11"/>
  <c r="Y9" i="11"/>
  <c r="Z9" i="11"/>
  <c r="X9" i="11"/>
  <c r="T10" i="11"/>
  <c r="V9" i="11"/>
  <c r="T33" i="11"/>
  <c r="Y32" i="11"/>
  <c r="Z32" i="11"/>
  <c r="X32" i="11"/>
  <c r="T31" i="11"/>
  <c r="T19" i="11"/>
  <c r="T20" i="11" s="1"/>
  <c r="T17" i="11"/>
  <c r="T16" i="11" s="1"/>
  <c r="H40" i="8"/>
  <c r="H39" i="8"/>
  <c r="T7" i="11" l="1"/>
  <c r="Y8" i="11"/>
  <c r="Z8" i="11"/>
  <c r="X8" i="11"/>
  <c r="V8" i="11"/>
  <c r="AD9" i="11"/>
  <c r="Z18" i="11" s="1"/>
  <c r="AD18" i="11" s="1"/>
  <c r="V32" i="11"/>
  <c r="AC9" i="11"/>
  <c r="Y18" i="11" s="1"/>
  <c r="AC18" i="11" s="1"/>
  <c r="AB9" i="11"/>
  <c r="X18" i="11" s="1"/>
  <c r="AB18" i="11" s="1"/>
  <c r="T11" i="11"/>
  <c r="Y10" i="11"/>
  <c r="Z10" i="11"/>
  <c r="X10" i="11"/>
  <c r="V10" i="11"/>
  <c r="T34" i="11"/>
  <c r="X33" i="11"/>
  <c r="Y33" i="11"/>
  <c r="Z33" i="11"/>
  <c r="T30" i="11"/>
  <c r="Y31" i="11"/>
  <c r="Z31" i="11"/>
  <c r="X31" i="11"/>
  <c r="Y11" i="11" l="1"/>
  <c r="Z11" i="11"/>
  <c r="X11" i="11"/>
  <c r="V11" i="11"/>
  <c r="AB32" i="11"/>
  <c r="X41" i="11" s="1"/>
  <c r="AB41" i="11" s="1"/>
  <c r="AC32" i="11"/>
  <c r="Y41" i="11" s="1"/>
  <c r="AC41" i="11" s="1"/>
  <c r="AD32" i="11"/>
  <c r="Z41" i="11" s="1"/>
  <c r="AD41" i="11" s="1"/>
  <c r="X30" i="11"/>
  <c r="Z30" i="11"/>
  <c r="Y30" i="11"/>
  <c r="AD8" i="11"/>
  <c r="Z17" i="11" s="1"/>
  <c r="AD17" i="11" s="1"/>
  <c r="AB8" i="11"/>
  <c r="X17" i="11" s="1"/>
  <c r="AB17" i="11" s="1"/>
  <c r="AC8" i="11"/>
  <c r="Y17" i="11" s="1"/>
  <c r="AC17" i="11" s="1"/>
  <c r="V31" i="11"/>
  <c r="Z7" i="11"/>
  <c r="Y7" i="11"/>
  <c r="X7" i="11"/>
  <c r="V7" i="11"/>
  <c r="AD10" i="11"/>
  <c r="Z19" i="11" s="1"/>
  <c r="AD19" i="11" s="1"/>
  <c r="AB10" i="11"/>
  <c r="X19" i="11" s="1"/>
  <c r="AB19" i="11" s="1"/>
  <c r="AC10" i="11"/>
  <c r="Y19" i="11" s="1"/>
  <c r="AC19" i="11" s="1"/>
  <c r="V33" i="11"/>
  <c r="Z34" i="11"/>
  <c r="X34" i="11"/>
  <c r="Y34" i="11"/>
  <c r="AD33" i="11" l="1"/>
  <c r="Z42" i="11" s="1"/>
  <c r="AD42" i="11" s="1"/>
  <c r="AC33" i="11"/>
  <c r="Y42" i="11" s="1"/>
  <c r="AC42" i="11" s="1"/>
  <c r="AB33" i="11"/>
  <c r="X42" i="11" s="1"/>
  <c r="AB42" i="11" s="1"/>
  <c r="V34" i="11"/>
  <c r="AB11" i="11"/>
  <c r="X20" i="11" s="1"/>
  <c r="AB20" i="11" s="1"/>
  <c r="AC11" i="11"/>
  <c r="Y20" i="11" s="1"/>
  <c r="AC20" i="11" s="1"/>
  <c r="AD11" i="11"/>
  <c r="Z20" i="11" s="1"/>
  <c r="AD20" i="11" s="1"/>
  <c r="V30" i="11"/>
  <c r="AB7" i="11"/>
  <c r="X16" i="11" s="1"/>
  <c r="AB16" i="11" s="1"/>
  <c r="AC7" i="11"/>
  <c r="Y16" i="11" s="1"/>
  <c r="AC16" i="11" s="1"/>
  <c r="AD7" i="11"/>
  <c r="Z16" i="11" s="1"/>
  <c r="AB31" i="11"/>
  <c r="X40" i="11" s="1"/>
  <c r="AB40" i="11" s="1"/>
  <c r="AD31" i="11"/>
  <c r="Z40" i="11" s="1"/>
  <c r="AD40" i="11" s="1"/>
  <c r="AC31" i="11"/>
  <c r="Y40" i="11" s="1"/>
  <c r="AC40" i="11" s="1"/>
  <c r="G4" i="10" l="1"/>
  <c r="F4" i="10"/>
  <c r="AD34" i="11"/>
  <c r="Z43" i="11" s="1"/>
  <c r="AD43" i="11" s="1"/>
  <c r="AB34" i="11"/>
  <c r="X43" i="11" s="1"/>
  <c r="AB43" i="11" s="1"/>
  <c r="AC34" i="11"/>
  <c r="Y43" i="11" s="1"/>
  <c r="AC43" i="11" s="1"/>
  <c r="AB30" i="11"/>
  <c r="X39" i="11" s="1"/>
  <c r="AB39" i="11" s="1"/>
  <c r="AD30" i="11"/>
  <c r="Z39" i="11" s="1"/>
  <c r="AD39" i="11" s="1"/>
  <c r="AC30" i="11"/>
  <c r="Y39" i="11" s="1"/>
  <c r="AC39" i="11" s="1"/>
  <c r="C4" i="10" l="1"/>
  <c r="D4" i="10"/>
  <c r="F3" i="10"/>
  <c r="C3" i="10" s="1"/>
  <c r="G3" i="10"/>
  <c r="D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sabrams</author>
  </authors>
  <commentList>
    <comment ref="G14" authorId="0" shapeId="0" xr:uid="{0CAD81DD-DE43-4D25-B640-459DCE8C6C55}">
      <text>
        <r>
          <rPr>
            <b/>
            <sz val="9"/>
            <color indexed="81"/>
            <rFont val="Tahoma"/>
            <family val="2"/>
          </rPr>
          <t xml:space="preserve">kfinn: </t>
        </r>
        <r>
          <rPr>
            <sz val="9"/>
            <color indexed="81"/>
            <rFont val="Tahoma"/>
            <family val="2"/>
          </rPr>
          <t xml:space="preserve">This is a proxy.
</t>
        </r>
      </text>
    </comment>
    <comment ref="H14" authorId="0" shapeId="0" xr:uid="{D3493C5F-0B16-4461-8C84-816854B97B71}">
      <text>
        <r>
          <rPr>
            <b/>
            <sz val="9"/>
            <color indexed="81"/>
            <rFont val="Tahoma"/>
            <family val="2"/>
          </rPr>
          <t xml:space="preserve">kfinn:  </t>
        </r>
        <r>
          <rPr>
            <sz val="9"/>
            <color indexed="81"/>
            <rFont val="Tahoma"/>
            <family val="2"/>
          </rPr>
          <t xml:space="preserve">This is a proxy.
</t>
        </r>
      </text>
    </comment>
    <comment ref="J21" authorId="1" shapeId="0" xr:uid="{693341E0-B89E-4E2A-BFF0-2F3F0E082CF9}">
      <text>
        <r>
          <rPr>
            <b/>
            <sz val="10"/>
            <color indexed="81"/>
            <rFont val="Tahoma"/>
            <family val="2"/>
          </rPr>
          <t>sabrams:</t>
        </r>
        <r>
          <rPr>
            <sz val="10"/>
            <color indexed="81"/>
            <rFont val="Tahoma"/>
            <family val="2"/>
          </rPr>
          <t xml:space="preserve">
Enter in base case EV/EBITDA multiple on DCF assumptions tab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Tejaswa Gavankar</author>
  </authors>
  <commentList>
    <comment ref="I35" authorId="0" shapeId="0" xr:uid="{FDCC7B3A-4194-4B58-9888-9C2F316DC1F0}">
      <text>
        <r>
          <rPr>
            <b/>
            <sz val="9"/>
            <color indexed="81"/>
            <rFont val="Tahoma"/>
            <family val="2"/>
          </rPr>
          <t>Tejaswa Gavankar:</t>
        </r>
        <r>
          <rPr>
            <sz val="9"/>
            <color indexed="81"/>
            <rFont val="Tahoma"/>
            <family val="2"/>
          </rPr>
          <t xml:space="preserve">
lease capitalization tab
Negative?</t>
        </r>
      </text>
    </comment>
    <comment ref="I85" authorId="0" shapeId="0" xr:uid="{C80CF76E-034F-4774-B336-3F3F5EC7CFE4}">
      <text>
        <r>
          <rPr>
            <b/>
            <sz val="9"/>
            <color indexed="81"/>
            <rFont val="Tahoma"/>
            <family val="2"/>
          </rPr>
          <t>Tejaswa Gavankar:</t>
        </r>
        <r>
          <rPr>
            <sz val="9"/>
            <color indexed="81"/>
            <rFont val="Tahoma"/>
            <family val="2"/>
          </rPr>
          <t xml:space="preserve">
Why are we doing these on a % basis?</t>
        </r>
      </text>
    </comment>
  </commentList>
</comments>
</file>

<file path=xl/sharedStrings.xml><?xml version="1.0" encoding="utf-8"?>
<sst xmlns="http://schemas.openxmlformats.org/spreadsheetml/2006/main" count="1367" uniqueCount="567">
  <si>
    <t>Identifier (RIC)</t>
  </si>
  <si>
    <t>Company Name</t>
  </si>
  <si>
    <t xml:space="preserve">EV / Revenue
</t>
  </si>
  <si>
    <t>EV / EBITDA</t>
  </si>
  <si>
    <t xml:space="preserve">Price / EPS
</t>
  </si>
  <si>
    <t xml:space="preserve">Price / Book Value Per Share
</t>
  </si>
  <si>
    <t xml:space="preserve">Price / Revenue
</t>
  </si>
  <si>
    <t>Enterprise Value - Mean
(FY1, usd)</t>
  </si>
  <si>
    <t>NFLX.O</t>
  </si>
  <si>
    <t>Netflix Inc</t>
  </si>
  <si>
    <t>META.OQ</t>
  </si>
  <si>
    <t>Meta Platforms Inc</t>
  </si>
  <si>
    <t>CRM.N</t>
  </si>
  <si>
    <t>Salesforce Inc</t>
  </si>
  <si>
    <t>DIS</t>
  </si>
  <si>
    <t>Walt Disney Co</t>
  </si>
  <si>
    <t>WBD.O</t>
  </si>
  <si>
    <t>Warner Bros Discovery Inc</t>
  </si>
  <si>
    <t>PARA.O</t>
  </si>
  <si>
    <t>Paramount Global</t>
  </si>
  <si>
    <t>GOOGL.O</t>
  </si>
  <si>
    <t>Alphabet Inc</t>
  </si>
  <si>
    <t>SPOT.K</t>
  </si>
  <si>
    <t>Spotify Technology SA</t>
  </si>
  <si>
    <t>EA.O</t>
  </si>
  <si>
    <t>Electronic Arts Inc</t>
  </si>
  <si>
    <t>ATVI.O</t>
  </si>
  <si>
    <t>Activision Blizzard Inc</t>
  </si>
  <si>
    <t>AAPL.O</t>
  </si>
  <si>
    <t>Apple Inc</t>
  </si>
  <si>
    <t>SNAP.N</t>
  </si>
  <si>
    <t>Snap Inc</t>
  </si>
  <si>
    <t>FOXA.OQ</t>
  </si>
  <si>
    <t>Fox Corp</t>
  </si>
  <si>
    <t>CMCSA.OQ</t>
  </si>
  <si>
    <t>Comcast Corp</t>
  </si>
  <si>
    <t>TTWO.OQ</t>
  </si>
  <si>
    <t>Take-Two Interactive Software Inc</t>
  </si>
  <si>
    <t>LGFa.N</t>
  </si>
  <si>
    <t>Lions Gate Entertainment Corp</t>
  </si>
  <si>
    <t>SONY.K</t>
  </si>
  <si>
    <t>Sony Group Corp</t>
  </si>
  <si>
    <t>Weighted averages</t>
  </si>
  <si>
    <t>Weighted EBITDA Multiple:</t>
  </si>
  <si>
    <t>EV</t>
  </si>
  <si>
    <t>Share price</t>
  </si>
  <si>
    <t>Revenue</t>
  </si>
  <si>
    <t>EBITDA</t>
  </si>
  <si>
    <t>Book Value</t>
  </si>
  <si>
    <t>Shares outstanding</t>
  </si>
  <si>
    <t>WACC and Capital Structure Analysis</t>
    <phoneticPr fontId="15" type="noConversion"/>
  </si>
  <si>
    <t>WACC</t>
  </si>
  <si>
    <t>Cost of Debt (Rd):</t>
  </si>
  <si>
    <t>Estimated All-In Cost for Company</t>
    <phoneticPr fontId="15" type="noConversion"/>
  </si>
  <si>
    <t>Tax Rate</t>
    <phoneticPr fontId="15" type="noConversion"/>
  </si>
  <si>
    <t>Cost of Equity (Re):</t>
  </si>
  <si>
    <t>Risk Free Rate</t>
    <phoneticPr fontId="15" type="noConversion"/>
  </si>
  <si>
    <t>Target Beta</t>
    <phoneticPr fontId="15" type="noConversion"/>
  </si>
  <si>
    <t>Market Risk Premium</t>
  </si>
  <si>
    <t>Weighted Average Cost of Capital (WACC):</t>
  </si>
  <si>
    <t>D/V</t>
  </si>
  <si>
    <t>E/V</t>
  </si>
  <si>
    <t>Industry Analysis for Beta and Capital Structure</t>
  </si>
  <si>
    <t>Implied</t>
  </si>
  <si>
    <t>Analysis of Comparable Companies</t>
  </si>
  <si>
    <t>total debt</t>
  </si>
  <si>
    <t>total equity</t>
  </si>
  <si>
    <t>D/E</t>
  </si>
  <si>
    <t>ßL</t>
  </si>
  <si>
    <t>tax rate</t>
  </si>
  <si>
    <t>ßU calc</t>
  </si>
  <si>
    <t>comp 1</t>
    <phoneticPr fontId="15" type="noConversion"/>
  </si>
  <si>
    <t>comp 2</t>
    <phoneticPr fontId="15" type="noConversion"/>
  </si>
  <si>
    <t>comp 3</t>
    <phoneticPr fontId="15" type="noConversion"/>
  </si>
  <si>
    <t>comp 4</t>
    <phoneticPr fontId="15" type="noConversion"/>
  </si>
  <si>
    <t>comp 5</t>
    <phoneticPr fontId="15" type="noConversion"/>
  </si>
  <si>
    <t>comp 6</t>
    <phoneticPr fontId="15" type="noConversion"/>
  </si>
  <si>
    <t>comp 7</t>
    <phoneticPr fontId="15" type="noConversion"/>
  </si>
  <si>
    <t>Median Industry</t>
  </si>
  <si>
    <t>Average Industry</t>
  </si>
  <si>
    <t>ßL calc</t>
  </si>
  <si>
    <t>Target Co - assuming industry capital structure</t>
    <phoneticPr fontId="15" type="noConversion"/>
  </si>
  <si>
    <t>Target Co - no debt</t>
    <phoneticPr fontId="15" type="noConversion"/>
  </si>
  <si>
    <t>Projected Year Ending December 31,</t>
  </si>
  <si>
    <t>A</t>
  </si>
  <si>
    <t>+</t>
  </si>
  <si>
    <t>B</t>
  </si>
  <si>
    <t>=</t>
  </si>
  <si>
    <t>C</t>
  </si>
  <si>
    <t>PV of Cash</t>
  </si>
  <si>
    <t xml:space="preserve">Present Value of Residual at Exit Multiple of: </t>
  </si>
  <si>
    <t xml:space="preserve">Enterprise Value at Exit Multiple of: </t>
  </si>
  <si>
    <t>EBIT</t>
  </si>
  <si>
    <t>Discount Rate</t>
  </si>
  <si>
    <t>Flows 2023-2030</t>
  </si>
  <si>
    <t>Net Operating Profit After Taxes (NOPAT)</t>
  </si>
  <si>
    <t>Plus:  Depreciation</t>
  </si>
  <si>
    <t>Plus:  Amortization</t>
  </si>
  <si>
    <t>Plus:  Share-based Compensation</t>
  </si>
  <si>
    <t>Less:  Capital Expenditures</t>
  </si>
  <si>
    <t>-</t>
  </si>
  <si>
    <t>D</t>
  </si>
  <si>
    <t>E</t>
  </si>
  <si>
    <t>F</t>
  </si>
  <si>
    <t>Less:  Working Capital Investment</t>
  </si>
  <si>
    <t xml:space="preserve">Equity Value at Exit Multiple of: </t>
  </si>
  <si>
    <t xml:space="preserve">Per Share Value at Exit Multiple of: </t>
  </si>
  <si>
    <t>Unlevered Free Cash Flow</t>
  </si>
  <si>
    <r>
      <t xml:space="preserve">Net Debt </t>
    </r>
    <r>
      <rPr>
        <b/>
        <vertAlign val="superscript"/>
        <sz val="11"/>
        <rFont val="Garamond"/>
        <family val="1"/>
      </rPr>
      <t>(1)</t>
    </r>
  </si>
  <si>
    <t>t</t>
  </si>
  <si>
    <t>Gordon Growth ~ Terminal Value growth rate</t>
  </si>
  <si>
    <t>EV/Sales Multiple</t>
  </si>
  <si>
    <t>EBITDA in 2030</t>
  </si>
  <si>
    <t xml:space="preserve">Present Value of Residual at Growth Rate of: </t>
  </si>
  <si>
    <t xml:space="preserve">Enterprise Value at Growth Rate of: </t>
  </si>
  <si>
    <t xml:space="preserve">Equity Value at Growth Rate of: </t>
  </si>
  <si>
    <t xml:space="preserve">Per Share Value at Growth Rate of: </t>
  </si>
  <si>
    <t>(1) Adjustment also accounts for preferred stock and minority interest.</t>
  </si>
  <si>
    <t>Valuation Range</t>
  </si>
  <si>
    <t>Valuation Method</t>
  </si>
  <si>
    <t>difference between low and high</t>
  </si>
  <si>
    <t>Low</t>
  </si>
  <si>
    <t>High</t>
  </si>
  <si>
    <t>DCF Stand Alone Base WACC 8.48%</t>
  </si>
  <si>
    <t xml:space="preserve">Note: change the maximum on the x-axis </t>
  </si>
  <si>
    <t>Exit Multiple Comparables WACC 8.48%</t>
  </si>
  <si>
    <t>once you have a good range of values</t>
  </si>
  <si>
    <t>DCF Stand Alone Base WACC 10%</t>
  </si>
  <si>
    <t>Exit Multiple Comparables WACC 10%</t>
  </si>
  <si>
    <t>DCF Stand Alone Base WACC 12%</t>
  </si>
  <si>
    <t>Exit Multiple Comparables WACC 12%</t>
  </si>
  <si>
    <t>Bonds</t>
  </si>
  <si>
    <t>Maturity</t>
  </si>
  <si>
    <t>Issues</t>
  </si>
  <si>
    <t>Outstanding (USD)</t>
  </si>
  <si>
    <t>Issued (USD)</t>
  </si>
  <si>
    <t>Description</t>
  </si>
  <si>
    <t>Asset Duplicated</t>
  </si>
  <si>
    <t>Maturity Date</t>
  </si>
  <si>
    <t>Amount Outstanding</t>
  </si>
  <si>
    <t>Issued Amount</t>
  </si>
  <si>
    <t>Coupon</t>
  </si>
  <si>
    <t>Coupon Class</t>
  </si>
  <si>
    <t>Country of Issue</t>
  </si>
  <si>
    <t>Currency</t>
  </si>
  <si>
    <t>ISIN</t>
  </si>
  <si>
    <t>RIC</t>
  </si>
  <si>
    <t>Cusip</t>
  </si>
  <si>
    <t>Issue Date</t>
  </si>
  <si>
    <t>Rank (Seniority)</t>
  </si>
  <si>
    <t>Seniority (Legacy)</t>
  </si>
  <si>
    <t>Instrument Type</t>
  </si>
  <si>
    <t>Principal Index Link Flag</t>
  </si>
  <si>
    <t>Modified Duration</t>
  </si>
  <si>
    <t>Option Adjusted Duration</t>
  </si>
  <si>
    <t>Option Adjusted Spread</t>
  </si>
  <si>
    <t>Yield</t>
  </si>
  <si>
    <t>Yield Type</t>
  </si>
  <si>
    <t>Yield Event</t>
  </si>
  <si>
    <t>Yield Date</t>
  </si>
  <si>
    <t>Last Price</t>
  </si>
  <si>
    <t>Capital Tier</t>
  </si>
  <si>
    <t>Government Bond Type</t>
  </si>
  <si>
    <t>Is Convertible</t>
  </si>
  <si>
    <t>Offering Type</t>
  </si>
  <si>
    <t>Program Type</t>
  </si>
  <si>
    <t>Domicile</t>
  </si>
  <si>
    <t>Asset Status</t>
  </si>
  <si>
    <t>Green Bonds</t>
  </si>
  <si>
    <t>Issuer</t>
  </si>
  <si>
    <t>Collateral</t>
  </si>
  <si>
    <t xml:space="preserve">NFLX 5.750  01-Mar-2024 </t>
  </si>
  <si>
    <t>--</t>
  </si>
  <si>
    <t>Fixed Coupon</t>
  </si>
  <si>
    <t>United States</t>
  </si>
  <si>
    <t>U.S. Dollar</t>
  </si>
  <si>
    <t>US64110LAG14</t>
  </si>
  <si>
    <t>64110LAG1=</t>
  </si>
  <si>
    <t>64110LAG1</t>
  </si>
  <si>
    <t>Senior Unsecured</t>
  </si>
  <si>
    <t>Note</t>
  </si>
  <si>
    <t>N</t>
  </si>
  <si>
    <t>CB</t>
  </si>
  <si>
    <t>MAT</t>
  </si>
  <si>
    <t>N/A</t>
  </si>
  <si>
    <t>Exchange Offer</t>
  </si>
  <si>
    <t>Issued</t>
  </si>
  <si>
    <t>NETFLIX INC</t>
  </si>
  <si>
    <t xml:space="preserve">NFLX 5.875  15-Feb-2025 </t>
  </si>
  <si>
    <t>US64110LAL09</t>
  </si>
  <si>
    <t>64110LAL0=</t>
  </si>
  <si>
    <t>64110LAL0</t>
  </si>
  <si>
    <t>NFLX 3.625  15-Jun-2025  '25</t>
  </si>
  <si>
    <t>US64110LAY20</t>
  </si>
  <si>
    <t>64110LAY2=</t>
  </si>
  <si>
    <t>64110LAY2</t>
  </si>
  <si>
    <t>Private placement-144A no reg rights</t>
  </si>
  <si>
    <t>RGSRS</t>
  </si>
  <si>
    <t>Eurobond</t>
  </si>
  <si>
    <t>USU74079AT84</t>
  </si>
  <si>
    <t>US216674251=</t>
  </si>
  <si>
    <t>IS</t>
  </si>
  <si>
    <t>Regulation S</t>
  </si>
  <si>
    <t>NFLX 3.000  15-Jun-2025  '25</t>
  </si>
  <si>
    <t>Euro</t>
  </si>
  <si>
    <t>XS2166217278</t>
  </si>
  <si>
    <t>US216621727=</t>
  </si>
  <si>
    <t>XS2166217435</t>
  </si>
  <si>
    <t>216621743=</t>
  </si>
  <si>
    <t xml:space="preserve">NFLX 4.375  15-Nov-2026 </t>
  </si>
  <si>
    <t>US64110LAN64</t>
  </si>
  <si>
    <t>64110LAN6=</t>
  </si>
  <si>
    <t>64110LAN6</t>
  </si>
  <si>
    <t xml:space="preserve">NFLX 3.625  15-May-2027 </t>
  </si>
  <si>
    <t>Multi Country</t>
  </si>
  <si>
    <t>XS1821883102</t>
  </si>
  <si>
    <t>US182188310=</t>
  </si>
  <si>
    <t xml:space="preserve">NFLX 4.875  15-Apr-2028 </t>
  </si>
  <si>
    <t>US64110LAS51</t>
  </si>
  <si>
    <t>64110LAS5=</t>
  </si>
  <si>
    <t>64110LAS5</t>
  </si>
  <si>
    <t xml:space="preserve">NFLX 5.875  15-Nov-2028 </t>
  </si>
  <si>
    <t>US64110LAT35</t>
  </si>
  <si>
    <t>64110LAT3=</t>
  </si>
  <si>
    <t>64110LAT3</t>
  </si>
  <si>
    <t xml:space="preserve">NFLX 4.625  15-May-2029 </t>
  </si>
  <si>
    <t>XS2076099865</t>
  </si>
  <si>
    <t>US207609986=</t>
  </si>
  <si>
    <t xml:space="preserve">NFLX 6.375  15-May-2029 </t>
  </si>
  <si>
    <t>US64110LAX47</t>
  </si>
  <si>
    <t>64110LAX4=</t>
  </si>
  <si>
    <t>64110LAX4</t>
  </si>
  <si>
    <t xml:space="preserve">NFLX 3.875  15-Nov-2029 </t>
  </si>
  <si>
    <t>XS1989380503</t>
  </si>
  <si>
    <t>198938050=</t>
  </si>
  <si>
    <t>Private placement-144A</t>
  </si>
  <si>
    <t xml:space="preserve">NFLX 5.375  15-Nov-2029 </t>
  </si>
  <si>
    <t>USU74079AN15</t>
  </si>
  <si>
    <t>US198989487=</t>
  </si>
  <si>
    <t>XS1989380172</t>
  </si>
  <si>
    <t>US198938017=</t>
  </si>
  <si>
    <t>US64110LAU08</t>
  </si>
  <si>
    <t>64110LAU0=</t>
  </si>
  <si>
    <t>64110LAU0</t>
  </si>
  <si>
    <t>NFLX 3.625  15-Jun-2030  '30</t>
  </si>
  <si>
    <t>XS2072829794</t>
  </si>
  <si>
    <t>US207282979=</t>
  </si>
  <si>
    <t>NFLX 4.875  15-Jun-2030  '30</t>
  </si>
  <si>
    <t>USU74079AQ46</t>
  </si>
  <si>
    <t>US207387274=</t>
  </si>
  <si>
    <t>US64110LAV80</t>
  </si>
  <si>
    <t>64110LAV8=</t>
  </si>
  <si>
    <t>64110LAV8</t>
  </si>
  <si>
    <t>XS2072829950</t>
  </si>
  <si>
    <t>207282995=RRPS</t>
  </si>
  <si>
    <t>Total</t>
  </si>
  <si>
    <t>Weighted Average</t>
  </si>
  <si>
    <t>Company Information</t>
  </si>
  <si>
    <t>Input</t>
  </si>
  <si>
    <t>Definition</t>
  </si>
  <si>
    <t>Netflix</t>
  </si>
  <si>
    <t>"name"</t>
  </si>
  <si>
    <t>Sub-header</t>
  </si>
  <si>
    <t>Dollars in millions, except per share</t>
  </si>
  <si>
    <t>"subheader"</t>
  </si>
  <si>
    <t>Fully-diluted Shares</t>
  </si>
  <si>
    <t>"sharesout"</t>
  </si>
  <si>
    <t>Last Fiscal Year End</t>
  </si>
  <si>
    <t>"FYE"</t>
  </si>
  <si>
    <t>Debt</t>
  </si>
  <si>
    <t>"debt"</t>
  </si>
  <si>
    <t>Tax Rate</t>
  </si>
  <si>
    <t>"tax"</t>
  </si>
  <si>
    <t>Preferred Stock</t>
  </si>
  <si>
    <t>"prefstock"</t>
  </si>
  <si>
    <t>Valuation Date</t>
  </si>
  <si>
    <t>"valdate"</t>
  </si>
  <si>
    <t>Minority Interest</t>
  </si>
  <si>
    <t>"mininterest"</t>
  </si>
  <si>
    <t>Terminal Growth Rate</t>
  </si>
  <si>
    <t>"termgrowth"</t>
  </si>
  <si>
    <t>Cash &amp; Cash Equiv</t>
  </si>
  <si>
    <t>"cash"</t>
  </si>
  <si>
    <t>Discount rate</t>
  </si>
  <si>
    <t>"rate"</t>
  </si>
  <si>
    <t>Exit Multiple</t>
  </si>
  <si>
    <t>"multiple"</t>
  </si>
  <si>
    <t>Dividend Yield</t>
  </si>
  <si>
    <t>"yield"</t>
  </si>
  <si>
    <t>Netflix, Inc. (NasdaqGS:NFLX) &gt; Financials &gt; Income Statement</t>
  </si>
  <si>
    <t>In Millions of the reported currency, except per share items.</t>
  </si>
  <si>
    <t>Template:</t>
  </si>
  <si>
    <t>Standard</t>
  </si>
  <si>
    <t> </t>
  </si>
  <si>
    <t>Restatement:</t>
  </si>
  <si>
    <t>Latest Filings</t>
  </si>
  <si>
    <t>Period Type:</t>
  </si>
  <si>
    <t>Annual</t>
  </si>
  <si>
    <t>Order:</t>
  </si>
  <si>
    <t>Latest on Right</t>
  </si>
  <si>
    <t>Currency:</t>
  </si>
  <si>
    <t>Reported Currency</t>
  </si>
  <si>
    <t>Conversion:</t>
  </si>
  <si>
    <t>Historical</t>
  </si>
  <si>
    <t>Units:</t>
  </si>
  <si>
    <t>S&amp;P Capital IQ (Default)</t>
  </si>
  <si>
    <t>Decimals:</t>
  </si>
  <si>
    <t>Capital IQ (Default)</t>
  </si>
  <si>
    <t>Source:</t>
  </si>
  <si>
    <t>Capital IQ &amp; Proprietary Data</t>
  </si>
  <si>
    <t>Income Statement</t>
  </si>
  <si>
    <t xml:space="preserve">For the Fiscal Period Ending
</t>
  </si>
  <si>
    <t>Reclassified
12 months
Dec-31-2017</t>
  </si>
  <si>
    <t>12 months
Dec-31-2018</t>
  </si>
  <si>
    <t>12 months
Dec-31-2019</t>
  </si>
  <si>
    <t>12 months
Dec-31-2020</t>
  </si>
  <si>
    <t>12 months
Dec-31-2021</t>
  </si>
  <si>
    <t>12 months
Dec-31-2022</t>
  </si>
  <si>
    <t>USD</t>
  </si>
  <si>
    <t xml:space="preserve"> </t>
  </si>
  <si>
    <t>International revenue</t>
  </si>
  <si>
    <t>Domestic revenue</t>
  </si>
  <si>
    <t xml:space="preserve">  Total Revenue</t>
  </si>
  <si>
    <t>Cost Of Goods Sold</t>
  </si>
  <si>
    <t xml:space="preserve">  Gross Profit</t>
  </si>
  <si>
    <t>Selling General &amp; Admin Exp.</t>
  </si>
  <si>
    <t>R &amp; D Exp.</t>
  </si>
  <si>
    <t>Depreciation &amp; Amort.</t>
  </si>
  <si>
    <t>Other Operating Expense/(Income)</t>
  </si>
  <si>
    <t xml:space="preserve">  Total Operating Exp.</t>
  </si>
  <si>
    <t xml:space="preserve">  Operating Income</t>
  </si>
  <si>
    <t>Interest Expense</t>
  </si>
  <si>
    <t>Less Taxes @ 25%</t>
  </si>
  <si>
    <t>Interest and Invest. Income</t>
  </si>
  <si>
    <t>NOPAT</t>
  </si>
  <si>
    <t xml:space="preserve">  Net Interest Exp.</t>
  </si>
  <si>
    <t>Add: Depreciation &amp; Amortization</t>
  </si>
  <si>
    <t>Less: Capex</t>
  </si>
  <si>
    <t>Currency Exchange Gains (Loss)</t>
  </si>
  <si>
    <t>Less: Working Capital Investment</t>
  </si>
  <si>
    <t>Other Non-Operating Inc. (Exp.)</t>
  </si>
  <si>
    <t xml:space="preserve">  EBT Excl. Unusual Items</t>
  </si>
  <si>
    <t>Impairment of Goodwill</t>
  </si>
  <si>
    <t>Other Unusual Items</t>
  </si>
  <si>
    <t xml:space="preserve">  EBT Incl. Unusual Items</t>
  </si>
  <si>
    <t>-16659.728'</t>
  </si>
  <si>
    <t>Income Tax Expense</t>
  </si>
  <si>
    <t xml:space="preserve">  Earnings from Cont. Ops.</t>
  </si>
  <si>
    <t>Earnings of Discontinued Ops.</t>
  </si>
  <si>
    <t>Extraord. Item &amp; Account. Change</t>
  </si>
  <si>
    <t xml:space="preserve">  Net Income to Company</t>
  </si>
  <si>
    <t>Minority Int. in Earnings</t>
  </si>
  <si>
    <t xml:space="preserve">  Net Income</t>
  </si>
  <si>
    <t>Pref. Dividends and Other Adj.</t>
  </si>
  <si>
    <t>CAPEX</t>
  </si>
  <si>
    <t xml:space="preserve">  NI to Common Incl Extra Items</t>
  </si>
  <si>
    <t xml:space="preserve">  NI to Common Excl. Extra Items</t>
  </si>
  <si>
    <t>Per Share Items</t>
  </si>
  <si>
    <t>Basic EPS</t>
  </si>
  <si>
    <t>Basic EPS Excl. Extra Items</t>
  </si>
  <si>
    <t>Weighted Avg. Basic Shares Out.</t>
  </si>
  <si>
    <t>Diluted EPS</t>
  </si>
  <si>
    <t>Diluted EPS Excl. Extra Items</t>
  </si>
  <si>
    <t>Weighted Avg. Diluted Shares Out.</t>
  </si>
  <si>
    <t>Normalized Basic EPS</t>
  </si>
  <si>
    <t>Normalized Diluted EPS</t>
  </si>
  <si>
    <t>Dividends per Share</t>
  </si>
  <si>
    <t>NA</t>
  </si>
  <si>
    <t>Shares per Depository Receipt</t>
  </si>
  <si>
    <t>Supplemental Items</t>
  </si>
  <si>
    <t>EBITA</t>
  </si>
  <si>
    <t>EBITDAR</t>
  </si>
  <si>
    <t>Effective Tax Rate %</t>
  </si>
  <si>
    <t>NM</t>
  </si>
  <si>
    <t>Current Domestic Taxes</t>
  </si>
  <si>
    <t>Current Foreign Taxes</t>
  </si>
  <si>
    <t>Total Current Taxes</t>
  </si>
  <si>
    <t>Deferred Domestic Taxes</t>
  </si>
  <si>
    <t>Deferred Foreign Taxes</t>
  </si>
  <si>
    <t>Total Deferred Taxes</t>
  </si>
  <si>
    <t>Normalized Net Income</t>
  </si>
  <si>
    <t>Interest on Long Term Debt</t>
  </si>
  <si>
    <t>Filing Date</t>
  </si>
  <si>
    <t>Restatement Type</t>
  </si>
  <si>
    <t>RC</t>
  </si>
  <si>
    <t>NC</t>
  </si>
  <si>
    <t>O</t>
  </si>
  <si>
    <t>Calculation Type</t>
  </si>
  <si>
    <t>REP</t>
  </si>
  <si>
    <t>Supplemental Operating Expense Items</t>
  </si>
  <si>
    <t>Advertising Exp.</t>
  </si>
  <si>
    <t>Marketing Exp.</t>
  </si>
  <si>
    <t>Selling and Marketing Exp.</t>
  </si>
  <si>
    <t>General and Administrative Exp.</t>
  </si>
  <si>
    <t>R&amp;D Exp.</t>
  </si>
  <si>
    <t>Net Rental Exp.</t>
  </si>
  <si>
    <t>Imputed Oper. Lease Interest Exp.</t>
  </si>
  <si>
    <t>Imputed Oper. Lease Depreciation</t>
  </si>
  <si>
    <t>Stock-Based Comp., Unallocated</t>
  </si>
  <si>
    <t xml:space="preserve">  Stock-Based Comp., Total</t>
  </si>
  <si>
    <t>Note: For multiple class companies, per share items are primary class equivalent, and for foreign companies listed as primary ADRs, per share items are ADR-equivalent.</t>
  </si>
  <si>
    <t xml:space="preserve">
               </t>
  </si>
  <si>
    <t>Year</t>
  </si>
  <si>
    <t>US &amp; Canada</t>
  </si>
  <si>
    <t>EMEA</t>
  </si>
  <si>
    <t>Latin America</t>
  </si>
  <si>
    <t>Asia-Pacific</t>
  </si>
  <si>
    <t>Revenue in billions</t>
  </si>
  <si>
    <t>ARPU</t>
  </si>
  <si>
    <t>GDP Growth</t>
  </si>
  <si>
    <t>Weighted GDP growth rate</t>
  </si>
  <si>
    <t xml:space="preserve">https://www.businessofapps.com/data/netflix-statistics/#Netflixrevenuebyregion </t>
  </si>
  <si>
    <t>Domestic %</t>
  </si>
  <si>
    <t>International %</t>
  </si>
  <si>
    <t>gdp</t>
  </si>
  <si>
    <t>growth</t>
  </si>
  <si>
    <t>Europe</t>
  </si>
  <si>
    <t>Middle East</t>
  </si>
  <si>
    <t>Africa</t>
  </si>
  <si>
    <t>Netflix, Inc. (NasdaqGS:NFLX) &gt; Financials &gt; Balance Sheet</t>
  </si>
  <si>
    <t>Balance Sheet</t>
  </si>
  <si>
    <t xml:space="preserve">Balance Sheet as of:
</t>
  </si>
  <si>
    <t>Reclassified
Dec-31-2019</t>
  </si>
  <si>
    <t>ASSETS</t>
  </si>
  <si>
    <t>Cash And Equivalents</t>
  </si>
  <si>
    <t>Short Term Investments</t>
  </si>
  <si>
    <t xml:space="preserve">  Total Cash &amp; ST Investments</t>
  </si>
  <si>
    <t>Accounts Receivable</t>
  </si>
  <si>
    <t>Other Receivables</t>
  </si>
  <si>
    <t xml:space="preserve">  Total Receivables</t>
  </si>
  <si>
    <t>Prepaid Exp.</t>
  </si>
  <si>
    <t>Restricted Cash</t>
  </si>
  <si>
    <t>Other Current Assets</t>
  </si>
  <si>
    <t xml:space="preserve">  Total Current Assets</t>
  </si>
  <si>
    <t>Gross Property, Plant &amp; Equipment</t>
  </si>
  <si>
    <t>Accumulated Depreciation</t>
  </si>
  <si>
    <t xml:space="preserve">  Net Property, Plant &amp; Equipment</t>
  </si>
  <si>
    <t>Other Intangibles</t>
  </si>
  <si>
    <t>Deferred Tax Assets, LT</t>
  </si>
  <si>
    <t>Other Long-Term Assets</t>
  </si>
  <si>
    <t>Total Assets</t>
  </si>
  <si>
    <t>LIABILITIES</t>
  </si>
  <si>
    <t>Accounts Payable</t>
  </si>
  <si>
    <t>Accrued Exp.</t>
  </si>
  <si>
    <t>Curr. Port. of LT Debt</t>
  </si>
  <si>
    <t>Curr. Port. of Leases</t>
  </si>
  <si>
    <t>Unearned Revenue, Current</t>
  </si>
  <si>
    <t>Other Current Liabilities</t>
  </si>
  <si>
    <t xml:space="preserve">  Total Current Liabilities</t>
  </si>
  <si>
    <t>Long-Term Debt</t>
  </si>
  <si>
    <t>Long-Term Leases</t>
  </si>
  <si>
    <t>Other Non-Current Liabilities</t>
  </si>
  <si>
    <t>Total Liabilities</t>
  </si>
  <si>
    <t>Common Stock</t>
  </si>
  <si>
    <t>Additional Paid In Capital</t>
  </si>
  <si>
    <t>Retained Earnings</t>
  </si>
  <si>
    <t>Treasury Stock</t>
  </si>
  <si>
    <t>Comprehensive Inc. and Other</t>
  </si>
  <si>
    <t xml:space="preserve">  Total Common Equity</t>
  </si>
  <si>
    <t>Total Equity</t>
  </si>
  <si>
    <t>Total Liabilities And Equity</t>
  </si>
  <si>
    <t>Total Shares Out. on Filing Date</t>
  </si>
  <si>
    <t>Total Shares Out. on Balance Sheet Date</t>
  </si>
  <si>
    <t>Book Value/Share</t>
  </si>
  <si>
    <t>Tangible Book Value</t>
  </si>
  <si>
    <t>Tangible Book Value/Share</t>
  </si>
  <si>
    <t>Total Debt</t>
  </si>
  <si>
    <t>Net Debt</t>
  </si>
  <si>
    <t>Debt Equivalent Oper. Leases</t>
  </si>
  <si>
    <t>Inventory Method</t>
  </si>
  <si>
    <t>Land</t>
  </si>
  <si>
    <t>Buildings</t>
  </si>
  <si>
    <t>Machinery</t>
  </si>
  <si>
    <t>Construction in Progress</t>
  </si>
  <si>
    <t>Leasehold Improvements</t>
  </si>
  <si>
    <t>Full Time Employees</t>
  </si>
  <si>
    <t>Part-Time Employees</t>
  </si>
  <si>
    <t>RD</t>
  </si>
  <si>
    <t>RUP</t>
  </si>
  <si>
    <t>Note: For multiple class companies, total share counts are primary class equivalent, and for foreign companies listed as primary ADRs, total share counts are ADR-equivalent.</t>
  </si>
  <si>
    <t>Company Name: Netflix, Inc.</t>
  </si>
  <si>
    <t>Form Type: 10-K</t>
  </si>
  <si>
    <t>Filed On: 1/26/2023</t>
  </si>
  <si>
    <t>Cash Flow</t>
  </si>
  <si>
    <t>Year Ended December 31,</t>
  </si>
  <si>
    <t>Cash flows from operating activities:</t>
  </si>
  <si>
    <t>Net income</t>
  </si>
  <si>
    <t>Adjustments to reconcile net income to net cash provided by operating activities:</t>
  </si>
  <si>
    <t>Additions to content assets</t>
  </si>
  <si>
    <t>( 16,839,038)</t>
  </si>
  <si>
    <t>( 17,702,202)</t>
  </si>
  <si>
    <t>( 11,779,284)</t>
  </si>
  <si>
    <t>Change in content liabilities</t>
  </si>
  <si>
    <t>( 757,433)</t>
  </si>
  <si>
    <t>Amortization of content assets</t>
  </si>
  <si>
    <t>Depreciation and amortization of property, equipment and intangibles</t>
  </si>
  <si>
    <t>Stock-based compensation expense</t>
  </si>
  <si>
    <t>Foreign currency remeasurement loss (gain) on debt</t>
  </si>
  <si>
    <t>( 353,111)</t>
  </si>
  <si>
    <t>( 430,661)</t>
  </si>
  <si>
    <t>Other non-cash items</t>
  </si>
  <si>
    <t>Deferred income taxes</t>
  </si>
  <si>
    <t>( 166,550)</t>
  </si>
  <si>
    <t>Changes in operating assets and liabilities:</t>
  </si>
  <si>
    <t>Other current assets</t>
  </si>
  <si>
    <t>( 353,834)</t>
  </si>
  <si>
    <t>( 369,681)</t>
  </si>
  <si>
    <t>( 187,623)</t>
  </si>
  <si>
    <t>Accounts payable</t>
  </si>
  <si>
    <t>( 158,543)</t>
  </si>
  <si>
    <t>( 41,605)</t>
  </si>
  <si>
    <t>Accrued expenses and other liabilities</t>
  </si>
  <si>
    <t>( 55,513)</t>
  </si>
  <si>
    <t>Deferred revenue</t>
  </si>
  <si>
    <t>Other non-current assets and liabilities</t>
  </si>
  <si>
    <t>( 217,553)</t>
  </si>
  <si>
    <t>( 289,099)</t>
  </si>
  <si>
    <t>( 194,075)</t>
  </si>
  <si>
    <t>Net cash provided by operating activities</t>
  </si>
  <si>
    <t>Cash flows from investing activities:</t>
  </si>
  <si>
    <t>Purchases of property and equipment</t>
  </si>
  <si>
    <t>( 407,729)</t>
  </si>
  <si>
    <t>( 524,585)</t>
  </si>
  <si>
    <t>( 497,923)</t>
  </si>
  <si>
    <t>Change in other assets</t>
  </si>
  <si>
    <t>( 26,919)</t>
  </si>
  <si>
    <t>( 7,431)</t>
  </si>
  <si>
    <t>Acquisitions</t>
  </si>
  <si>
    <t>( 757,387)</t>
  </si>
  <si>
    <t>( 788,349)</t>
  </si>
  <si>
    <t>Purchases of short-term investments</t>
  </si>
  <si>
    <t>( 911,276)</t>
  </si>
  <si>
    <t>Net cash used in investing activities</t>
  </si>
  <si>
    <t>( 2,076,392)</t>
  </si>
  <si>
    <t>( 1,339,853)</t>
  </si>
  <si>
    <t>( 505,354)</t>
  </si>
  <si>
    <t>Cash flows from financing activities:</t>
  </si>
  <si>
    <t>Proceeds from issuance of debt</t>
  </si>
  <si>
    <t>Debt issuance costs</t>
  </si>
  <si>
    <t>( 7,559)</t>
  </si>
  <si>
    <t>Repayments of debt</t>
  </si>
  <si>
    <t>( 700,000)</t>
  </si>
  <si>
    <t>( 500,000)</t>
  </si>
  <si>
    <t>Proceeds from issuance of common stock</t>
  </si>
  <si>
    <t>Repurchases of common stock</t>
  </si>
  <si>
    <t>( 600,022)</t>
  </si>
  <si>
    <t>Taxes paid related to net share settlement of equity awards</t>
  </si>
  <si>
    <t>( 224,168)</t>
  </si>
  <si>
    <t>Net cash provided by (used in) financing activities</t>
  </si>
  <si>
    <t>( 664,254)</t>
  </si>
  <si>
    <t>( 1,149,776)</t>
  </si>
  <si>
    <t>Effect of exchange rate changes on cash, cash equivalents and restricted cash</t>
  </si>
  <si>
    <t>( 170,140)</t>
  </si>
  <si>
    <t>( 86,740)</t>
  </si>
  <si>
    <t>Net increase (decrease) in cash, cash equivalents and restricted cash</t>
  </si>
  <si>
    <t>( 884,529)</t>
  </si>
  <si>
    <t>( 2,183,759)</t>
  </si>
  <si>
    <t>Cash, cash equivalents and restricted cash, beginning of year</t>
  </si>
  <si>
    <t>Cash, cash equivalents and restricted cash, end of year</t>
  </si>
  <si>
    <t>Supplemental disclosure:</t>
  </si>
  <si>
    <t>Income taxes paid</t>
  </si>
  <si>
    <t>Interest paid</t>
  </si>
  <si>
    <t>Due in 12 month period ended December 31,</t>
  </si>
  <si>
    <t>Thereafter</t>
  </si>
  <si>
    <t>Less imputed interest</t>
  </si>
  <si>
    <t>( 354,069)</t>
  </si>
  <si>
    <t>Total operating lease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</si>
</sst>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_);_(@_)"/>
    <numFmt numFmtId="165" formatCode="_(* #,##0.0_);_(* \(#,##0.0\);_(* &quot;-&quot;?_);_(@_)"/>
    <numFmt numFmtId="166" formatCode="0.0%"/>
    <numFmt numFmtId="167" formatCode="0_);\(0\)"/>
    <numFmt numFmtId="168" formatCode="&quot;$&quot;#,##0.0_);\(&quot;$&quot;#,##0.0\)"/>
    <numFmt numFmtId="169" formatCode="#,##0.0%_);\(#,##0.0%\)"/>
    <numFmt numFmtId="170" formatCode="#0.0\x"/>
    <numFmt numFmtId="171" formatCode="#,##0.0_);\(#,##0.0\)"/>
    <numFmt numFmtId="172" formatCode="#,##0.00%_);\(#,##0.00%\)"/>
    <numFmt numFmtId="173" formatCode="_(0.0%;_(* \(0.0\)%"/>
    <numFmt numFmtId="174" formatCode="&quot;$&quot;#,##0"/>
    <numFmt numFmtId="175" formatCode="_(0.00%;_(* \(0.00\)%"/>
    <numFmt numFmtId="176" formatCode="_(* #,##0.000_);_(* \(#,##0.000\);_(* &quot;-&quot;??_);_(@_)"/>
    <numFmt numFmtId="177" formatCode="&quot;$&quot;#,##0.0_);[Red]\(&quot;$&quot;#,##0.0\)"/>
    <numFmt numFmtId="178" formatCode="0.0\x"/>
    <numFmt numFmtId="179" formatCode="_(* #,##0_);_(* \(#,##0\);_(* &quot;-&quot;??_);_(@_)"/>
    <numFmt numFmtId="180" formatCode="_(&quot;$&quot;* #,##0_);_(&quot;$&quot;* \(#,##0\);_(&quot;$&quot;* &quot;-&quot;??_);_(@_)"/>
    <numFmt numFmtId="181" formatCode="0.000"/>
    <numFmt numFmtId="182" formatCode="_(* #,##0.0_);_(* \(#,##0.0\)_)\ ;_(* 0_)"/>
    <numFmt numFmtId="183" formatCode="_(&quot;$&quot;#,##0.0#_);_(\(&quot;$&quot;#,##0.0#\)_);_(&quot;$&quot;&quot; - &quot;_)"/>
    <numFmt numFmtId="184" formatCode="_(* #,##0.0#_);_(* \(#,##0.0#\)_)\ ;_(* 0_)"/>
    <numFmt numFmtId="185" formatCode="_(* #,##0.0##_);_(* \(#,##0.0##\)_)\ ;_(* 0_)"/>
    <numFmt numFmtId="186" formatCode="_(#,##0.0%_);_(\(#,##0.0%\)_);_(#,##0.0%_)"/>
    <numFmt numFmtId="187" formatCode="mmm\-dd\-yyyy"/>
    <numFmt numFmtId="188" formatCode="_(* #,##0_);_(* \(#,##0\)_)\ ;_(* 0_)"/>
    <numFmt numFmtId="189" formatCode="_(\ #,##0_);_(\ \(#,##0\)_);_(\ &quot; - &quot;_)"/>
    <numFmt numFmtId="190" formatCode="_(&quot;$&quot;#,##0.00_);_(\(&quot;$&quot;#,##0.00\)_);_(&quot;$&quot;&quot; - &quot;_)"/>
    <numFmt numFmtId="191" formatCode="0.0"/>
  </numFmts>
  <fonts count="7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Times New Roman"/>
      <family val="1"/>
    </font>
    <font>
      <b/>
      <u val="singleAccounting"/>
      <sz val="8"/>
      <color indexed="8"/>
      <name val="Arial"/>
      <family val="2"/>
    </font>
    <font>
      <sz val="1"/>
      <color indexed="9"/>
      <name val="Symbol"/>
      <family val="1"/>
      <charset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3"/>
      <color indexed="8"/>
      <name val="Verdana"/>
      <family val="2"/>
    </font>
    <font>
      <u/>
      <sz val="10"/>
      <name val="Garamond"/>
      <family val="1"/>
    </font>
    <font>
      <sz val="10"/>
      <name val="Garamond"/>
      <family val="1"/>
    </font>
    <font>
      <u/>
      <sz val="11"/>
      <name val="Garamond"/>
      <family val="1"/>
    </font>
    <font>
      <sz val="11"/>
      <name val="Garamond"/>
      <family val="1"/>
    </font>
    <font>
      <i/>
      <sz val="1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sz val="11"/>
      <color rgb="FF0070C0"/>
      <name val="Garamond"/>
      <family val="1"/>
    </font>
    <font>
      <b/>
      <sz val="14"/>
      <name val="Garamond"/>
      <family val="1"/>
    </font>
    <font>
      <b/>
      <sz val="8"/>
      <name val="Garamond"/>
      <family val="1"/>
    </font>
    <font>
      <sz val="8"/>
      <name val="Garamond"/>
      <family val="1"/>
    </font>
    <font>
      <sz val="11"/>
      <color theme="0"/>
      <name val="Garamond"/>
      <family val="1"/>
    </font>
    <font>
      <sz val="11"/>
      <color indexed="12"/>
      <name val="Garamond"/>
      <family val="1"/>
    </font>
    <font>
      <b/>
      <sz val="14"/>
      <color indexed="8"/>
      <name val="Garamond"/>
      <family val="1"/>
    </font>
    <font>
      <sz val="6"/>
      <name val="Garamond"/>
      <family val="1"/>
    </font>
    <font>
      <b/>
      <sz val="10"/>
      <color indexed="10"/>
      <name val="Garamond"/>
      <family val="1"/>
    </font>
    <font>
      <b/>
      <sz val="11"/>
      <color indexed="10"/>
      <name val="Garamond"/>
      <family val="1"/>
    </font>
    <font>
      <sz val="11"/>
      <color indexed="17"/>
      <name val="Garamond"/>
      <family val="1"/>
    </font>
    <font>
      <sz val="11"/>
      <color indexed="23"/>
      <name val="Garamond"/>
      <family val="1"/>
    </font>
    <font>
      <b/>
      <vertAlign val="superscript"/>
      <sz val="11"/>
      <name val="Garamond"/>
      <family val="1"/>
    </font>
    <font>
      <sz val="12"/>
      <name val="Times New Roman"/>
      <family val="1"/>
    </font>
    <font>
      <sz val="10"/>
      <name val="Arial"/>
      <family val="2"/>
    </font>
    <font>
      <sz val="12"/>
      <name val="Garamond"/>
      <family val="1"/>
    </font>
    <font>
      <b/>
      <sz val="12"/>
      <color indexed="8"/>
      <name val="Garamond"/>
      <family val="1"/>
    </font>
    <font>
      <b/>
      <i/>
      <sz val="12"/>
      <name val="Garamond"/>
      <family val="1"/>
    </font>
    <font>
      <b/>
      <sz val="12"/>
      <name val="Garamond"/>
      <family val="1"/>
    </font>
    <font>
      <i/>
      <sz val="12"/>
      <name val="Garamond"/>
      <family val="1"/>
    </font>
    <font>
      <b/>
      <u/>
      <sz val="12"/>
      <name val="Garamond"/>
      <family val="1"/>
    </font>
    <font>
      <u/>
      <sz val="12"/>
      <name val="Garamond"/>
      <family val="1"/>
    </font>
    <font>
      <u/>
      <sz val="12"/>
      <color indexed="8"/>
      <name val="Garamond"/>
      <family val="1"/>
    </font>
    <font>
      <sz val="12"/>
      <color indexed="0"/>
      <name val="Garamond"/>
      <family val="1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u val="double"/>
      <sz val="8"/>
      <color indexed="8"/>
      <name val="Arial"/>
      <family val="2"/>
    </font>
    <font>
      <b/>
      <u/>
      <sz val="8"/>
      <color indexed="8"/>
      <name val="Arial"/>
      <family val="2"/>
    </font>
    <font>
      <sz val="8"/>
      <color theme="1" tint="0.499984740745262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249977111117893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AFB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3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5" fillId="0" borderId="0" applyAlignment="0"/>
    <xf numFmtId="0" fontId="8" fillId="3" borderId="0" applyAlignment="0"/>
    <xf numFmtId="44" fontId="2" fillId="0" borderId="0" applyFont="0" applyFill="0" applyBorder="0" applyAlignment="0" applyProtection="0"/>
    <xf numFmtId="0" fontId="9" fillId="0" borderId="0" applyAlignment="0"/>
    <xf numFmtId="0" fontId="10" fillId="4" borderId="0" applyAlignment="0"/>
    <xf numFmtId="0" fontId="11" fillId="5" borderId="0" applyAlignment="0"/>
    <xf numFmtId="0" fontId="12" fillId="0" borderId="0" applyAlignment="0"/>
    <xf numFmtId="0" fontId="1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4" fillId="0" borderId="0"/>
    <xf numFmtId="0" fontId="15" fillId="6" borderId="0" applyAlignment="0"/>
    <xf numFmtId="0" fontId="16" fillId="0" borderId="0" applyAlignment="0"/>
    <xf numFmtId="0" fontId="17" fillId="0" borderId="0" applyAlignment="0"/>
    <xf numFmtId="0" fontId="18" fillId="0" borderId="0" applyAlignment="0"/>
    <xf numFmtId="0" fontId="19" fillId="0" borderId="0" applyAlignment="0"/>
    <xf numFmtId="0" fontId="6" fillId="0" borderId="0" applyAlignment="0"/>
    <xf numFmtId="0" fontId="20" fillId="0" borderId="0" applyAlignment="0"/>
    <xf numFmtId="0" fontId="18" fillId="0" borderId="0" applyAlignment="0">
      <alignment wrapText="1"/>
    </xf>
    <xf numFmtId="0" fontId="41" fillId="0" borderId="0" applyFont="0" applyFill="0" applyBorder="0" applyAlignment="0" applyProtection="0"/>
    <xf numFmtId="0" fontId="42" fillId="0" borderId="0"/>
    <xf numFmtId="173" fontId="4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57" fillId="0" borderId="0"/>
    <xf numFmtId="9" fontId="57" fillId="0" borderId="0" applyFont="0" applyFill="0" applyBorder="0" applyAlignment="0" applyProtection="0"/>
    <xf numFmtId="44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1" fillId="0" borderId="0"/>
  </cellStyleXfs>
  <cellXfs count="302">
    <xf numFmtId="0" fontId="0" fillId="0" borderId="0" xfId="0"/>
    <xf numFmtId="0" fontId="22" fillId="0" borderId="0" xfId="0" applyFont="1"/>
    <xf numFmtId="0" fontId="24" fillId="0" borderId="0" xfId="0" applyFont="1"/>
    <xf numFmtId="0" fontId="25" fillId="0" borderId="0" xfId="0" applyFont="1"/>
    <xf numFmtId="0" fontId="29" fillId="0" borderId="0" xfId="0" applyFont="1"/>
    <xf numFmtId="0" fontId="30" fillId="0" borderId="0" xfId="0" applyFont="1" applyProtection="1">
      <protection locked="0"/>
    </xf>
    <xf numFmtId="0" fontId="30" fillId="0" borderId="0" xfId="0" applyFont="1"/>
    <xf numFmtId="0" fontId="31" fillId="0" borderId="0" xfId="0" applyFont="1"/>
    <xf numFmtId="0" fontId="25" fillId="0" borderId="3" xfId="0" applyFont="1" applyBorder="1"/>
    <xf numFmtId="0" fontId="24" fillId="0" borderId="3" xfId="0" applyFont="1" applyBorder="1"/>
    <xf numFmtId="0" fontId="27" fillId="0" borderId="3" xfId="0" applyFont="1" applyBorder="1"/>
    <xf numFmtId="0" fontId="27" fillId="0" borderId="0" xfId="0" applyFont="1"/>
    <xf numFmtId="0" fontId="24" fillId="0" borderId="4" xfId="0" applyFont="1" applyBorder="1"/>
    <xf numFmtId="0" fontId="24" fillId="0" borderId="2" xfId="0" applyFont="1" applyBorder="1"/>
    <xf numFmtId="0" fontId="24" fillId="0" borderId="5" xfId="0" applyFont="1" applyBorder="1"/>
    <xf numFmtId="0" fontId="26" fillId="2" borderId="6" xfId="0" applyFont="1" applyFill="1" applyBorder="1" applyAlignment="1">
      <alignment horizontal="centerContinuous"/>
    </xf>
    <xf numFmtId="0" fontId="32" fillId="2" borderId="6" xfId="0" applyFont="1" applyFill="1" applyBorder="1" applyAlignment="1">
      <alignment horizontal="centerContinuous"/>
    </xf>
    <xf numFmtId="0" fontId="26" fillId="2" borderId="7" xfId="0" applyFont="1" applyFill="1" applyBorder="1" applyAlignment="1">
      <alignment horizontal="centerContinuous"/>
    </xf>
    <xf numFmtId="0" fontId="26" fillId="2" borderId="8" xfId="0" applyFont="1" applyFill="1" applyBorder="1" applyAlignment="1">
      <alignment horizontal="centerContinuous"/>
    </xf>
    <xf numFmtId="0" fontId="24" fillId="0" borderId="0" xfId="0" quotePrefix="1" applyFont="1" applyAlignment="1">
      <alignment horizontal="center"/>
    </xf>
    <xf numFmtId="0" fontId="24" fillId="0" borderId="10" xfId="0" applyFont="1" applyBorder="1"/>
    <xf numFmtId="0" fontId="26" fillId="2" borderId="0" xfId="0" applyFont="1" applyFill="1" applyAlignment="1">
      <alignment horizontal="centerContinuous"/>
    </xf>
    <xf numFmtId="0" fontId="24" fillId="0" borderId="0" xfId="0" applyFont="1" applyAlignment="1">
      <alignment horizontal="center"/>
    </xf>
    <xf numFmtId="0" fontId="24" fillId="2" borderId="0" xfId="0" applyFont="1" applyFill="1" applyAlignment="1">
      <alignment horizontal="centerContinuous"/>
    </xf>
    <xf numFmtId="0" fontId="24" fillId="2" borderId="11" xfId="0" applyFont="1" applyFill="1" applyBorder="1" applyAlignment="1">
      <alignment horizontal="centerContinuous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24" fillId="0" borderId="11" xfId="0" applyFont="1" applyBorder="1" applyAlignment="1">
      <alignment horizontal="centerContinuous"/>
    </xf>
    <xf numFmtId="0" fontId="24" fillId="0" borderId="11" xfId="0" applyFont="1" applyBorder="1"/>
    <xf numFmtId="0" fontId="24" fillId="0" borderId="0" xfId="0" applyFont="1" applyAlignment="1">
      <alignment horizontal="left"/>
    </xf>
    <xf numFmtId="169" fontId="25" fillId="0" borderId="0" xfId="0" applyNumberFormat="1" applyFont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70" fontId="27" fillId="0" borderId="1" xfId="0" applyNumberFormat="1" applyFont="1" applyBorder="1" applyAlignment="1">
      <alignment horizontal="center"/>
    </xf>
    <xf numFmtId="170" fontId="27" fillId="0" borderId="13" xfId="0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171" fontId="24" fillId="0" borderId="0" xfId="0" applyNumberFormat="1" applyFont="1"/>
    <xf numFmtId="9" fontId="25" fillId="0" borderId="0" xfId="0" applyNumberFormat="1" applyFont="1"/>
    <xf numFmtId="166" fontId="24" fillId="0" borderId="10" xfId="0" applyNumberFormat="1" applyFont="1" applyBorder="1"/>
    <xf numFmtId="42" fontId="24" fillId="0" borderId="0" xfId="0" applyNumberFormat="1" applyFont="1"/>
    <xf numFmtId="42" fontId="24" fillId="0" borderId="11" xfId="0" applyNumberFormat="1" applyFont="1" applyBorder="1"/>
    <xf numFmtId="41" fontId="24" fillId="0" borderId="0" xfId="0" applyNumberFormat="1" applyFont="1"/>
    <xf numFmtId="41" fontId="24" fillId="0" borderId="11" xfId="0" applyNumberFormat="1" applyFont="1" applyBorder="1"/>
    <xf numFmtId="166" fontId="24" fillId="0" borderId="10" xfId="2" applyNumberFormat="1" applyFont="1" applyBorder="1"/>
    <xf numFmtId="171" fontId="24" fillId="0" borderId="2" xfId="0" applyNumberFormat="1" applyFont="1" applyBorder="1"/>
    <xf numFmtId="169" fontId="24" fillId="0" borderId="0" xfId="0" applyNumberFormat="1" applyFont="1"/>
    <xf numFmtId="44" fontId="24" fillId="0" borderId="0" xfId="0" applyNumberFormat="1" applyFont="1"/>
    <xf numFmtId="44" fontId="24" fillId="0" borderId="11" xfId="0" applyNumberFormat="1" applyFont="1" applyBorder="1"/>
    <xf numFmtId="43" fontId="24" fillId="0" borderId="0" xfId="0" applyNumberFormat="1" applyFont="1"/>
    <xf numFmtId="43" fontId="24" fillId="0" borderId="11" xfId="0" applyNumberFormat="1" applyFont="1" applyBorder="1"/>
    <xf numFmtId="171" fontId="24" fillId="0" borderId="1" xfId="0" applyNumberFormat="1" applyFont="1" applyBorder="1"/>
    <xf numFmtId="0" fontId="27" fillId="0" borderId="0" xfId="0" applyFont="1" applyAlignment="1">
      <alignment horizontal="left"/>
    </xf>
    <xf numFmtId="171" fontId="27" fillId="0" borderId="0" xfId="0" applyNumberFormat="1" applyFont="1"/>
    <xf numFmtId="168" fontId="27" fillId="0" borderId="0" xfId="0" applyNumberFormat="1" applyFont="1"/>
    <xf numFmtId="166" fontId="24" fillId="0" borderId="12" xfId="0" applyNumberFormat="1" applyFont="1" applyBorder="1"/>
    <xf numFmtId="0" fontId="24" fillId="0" borderId="1" xfId="0" applyFont="1" applyBorder="1"/>
    <xf numFmtId="41" fontId="24" fillId="0" borderId="1" xfId="0" applyNumberFormat="1" applyFont="1" applyBorder="1"/>
    <xf numFmtId="43" fontId="24" fillId="0" borderId="1" xfId="0" applyNumberFormat="1" applyFont="1" applyBorder="1"/>
    <xf numFmtId="43" fontId="24" fillId="0" borderId="13" xfId="0" applyNumberFormat="1" applyFont="1" applyBorder="1"/>
    <xf numFmtId="166" fontId="24" fillId="0" borderId="0" xfId="0" applyNumberFormat="1" applyFont="1"/>
    <xf numFmtId="14" fontId="24" fillId="0" borderId="0" xfId="0" applyNumberFormat="1" applyFont="1"/>
    <xf numFmtId="0" fontId="23" fillId="0" borderId="0" xfId="0" applyFont="1" applyAlignment="1">
      <alignment horizontal="left"/>
    </xf>
    <xf numFmtId="166" fontId="27" fillId="0" borderId="1" xfId="0" applyNumberFormat="1" applyFont="1" applyBorder="1" applyAlignment="1">
      <alignment horizontal="center"/>
    </xf>
    <xf numFmtId="166" fontId="27" fillId="0" borderId="13" xfId="0" applyNumberFormat="1" applyFont="1" applyBorder="1" applyAlignment="1">
      <alignment horizontal="center"/>
    </xf>
    <xf numFmtId="0" fontId="25" fillId="0" borderId="0" xfId="0" applyFont="1" applyAlignment="1">
      <alignment horizontal="left" indent="1"/>
    </xf>
    <xf numFmtId="166" fontId="25" fillId="0" borderId="0" xfId="0" applyNumberFormat="1" applyFont="1" applyAlignment="1">
      <alignment horizontal="right"/>
    </xf>
    <xf numFmtId="166" fontId="25" fillId="0" borderId="0" xfId="0" applyNumberFormat="1" applyFont="1"/>
    <xf numFmtId="169" fontId="24" fillId="0" borderId="0" xfId="0" applyNumberFormat="1" applyFont="1" applyProtection="1">
      <protection locked="0"/>
    </xf>
    <xf numFmtId="168" fontId="24" fillId="0" borderId="0" xfId="0" applyNumberFormat="1" applyFont="1"/>
    <xf numFmtId="7" fontId="24" fillId="0" borderId="0" xfId="0" applyNumberFormat="1" applyFont="1"/>
    <xf numFmtId="171" fontId="24" fillId="0" borderId="0" xfId="0" applyNumberFormat="1" applyFont="1" applyProtection="1">
      <protection hidden="1"/>
    </xf>
    <xf numFmtId="172" fontId="27" fillId="0" borderId="0" xfId="0" applyNumberFormat="1" applyFont="1" applyAlignment="1">
      <alignment horizontal="center"/>
    </xf>
    <xf numFmtId="0" fontId="34" fillId="0" borderId="0" xfId="0" applyFont="1"/>
    <xf numFmtId="22" fontId="35" fillId="0" borderId="14" xfId="0" applyNumberFormat="1" applyFont="1" applyBorder="1" applyAlignment="1">
      <alignment horizontal="center"/>
    </xf>
    <xf numFmtId="0" fontId="36" fillId="0" borderId="0" xfId="0" applyFont="1"/>
    <xf numFmtId="0" fontId="21" fillId="0" borderId="0" xfId="0" applyFont="1" applyAlignment="1">
      <alignment horizontal="left"/>
    </xf>
    <xf numFmtId="39" fontId="24" fillId="0" borderId="3" xfId="0" applyNumberFormat="1" applyFont="1" applyBorder="1"/>
    <xf numFmtId="0" fontId="37" fillId="0" borderId="0" xfId="0" applyFont="1"/>
    <xf numFmtId="171" fontId="38" fillId="0" borderId="0" xfId="0" applyNumberFormat="1" applyFont="1"/>
    <xf numFmtId="39" fontId="24" fillId="0" borderId="0" xfId="0" applyNumberFormat="1" applyFont="1"/>
    <xf numFmtId="0" fontId="26" fillId="2" borderId="7" xfId="0" applyFont="1" applyFill="1" applyBorder="1"/>
    <xf numFmtId="0" fontId="32" fillId="2" borderId="8" xfId="0" applyFont="1" applyFill="1" applyBorder="1"/>
    <xf numFmtId="0" fontId="26" fillId="2" borderId="8" xfId="0" applyFont="1" applyFill="1" applyBorder="1"/>
    <xf numFmtId="0" fontId="26" fillId="2" borderId="9" xfId="0" applyFont="1" applyFill="1" applyBorder="1"/>
    <xf numFmtId="0" fontId="33" fillId="0" borderId="2" xfId="3" applyFont="1" applyBorder="1" applyAlignment="1">
      <alignment horizontal="left"/>
    </xf>
    <xf numFmtId="44" fontId="33" fillId="0" borderId="2" xfId="3" applyNumberFormat="1" applyFont="1" applyBorder="1" applyAlignment="1">
      <alignment horizontal="left"/>
    </xf>
    <xf numFmtId="0" fontId="33" fillId="0" borderId="0" xfId="0" applyFont="1" applyAlignment="1">
      <alignment horizontal="left"/>
    </xf>
    <xf numFmtId="165" fontId="33" fillId="0" borderId="0" xfId="1" applyNumberFormat="1" applyFont="1" applyBorder="1" applyAlignment="1">
      <alignment horizontal="left"/>
    </xf>
    <xf numFmtId="0" fontId="39" fillId="0" borderId="0" xfId="0" applyFont="1"/>
    <xf numFmtId="14" fontId="33" fillId="0" borderId="0" xfId="0" applyNumberFormat="1" applyFont="1" applyAlignment="1">
      <alignment horizontal="left"/>
    </xf>
    <xf numFmtId="164" fontId="33" fillId="0" borderId="0" xfId="3" applyNumberFormat="1" applyFont="1" applyAlignment="1">
      <alignment horizontal="left"/>
    </xf>
    <xf numFmtId="166" fontId="33" fillId="0" borderId="0" xfId="0" applyNumberFormat="1" applyFont="1" applyAlignment="1">
      <alignment horizontal="left"/>
    </xf>
    <xf numFmtId="44" fontId="33" fillId="0" borderId="0" xfId="3" applyNumberFormat="1" applyFont="1" applyAlignment="1">
      <alignment horizontal="left"/>
    </xf>
    <xf numFmtId="170" fontId="33" fillId="0" borderId="0" xfId="1" applyNumberFormat="1" applyFont="1" applyBorder="1" applyAlignment="1">
      <alignment horizontal="left"/>
    </xf>
    <xf numFmtId="0" fontId="24" fillId="0" borderId="12" xfId="0" applyFont="1" applyBorder="1"/>
    <xf numFmtId="166" fontId="33" fillId="0" borderId="1" xfId="0" applyNumberFormat="1" applyFont="1" applyBorder="1" applyAlignment="1">
      <alignment horizontal="left"/>
    </xf>
    <xf numFmtId="0" fontId="39" fillId="0" borderId="1" xfId="0" applyFont="1" applyBorder="1"/>
    <xf numFmtId="0" fontId="24" fillId="0" borderId="13" xfId="0" applyFont="1" applyBorder="1"/>
    <xf numFmtId="44" fontId="33" fillId="0" borderId="1" xfId="3" applyNumberFormat="1" applyFont="1" applyBorder="1" applyAlignment="1">
      <alignment horizontal="left"/>
    </xf>
    <xf numFmtId="167" fontId="27" fillId="0" borderId="6" xfId="0" applyNumberFormat="1" applyFont="1" applyBorder="1"/>
    <xf numFmtId="166" fontId="24" fillId="0" borderId="0" xfId="0" applyNumberFormat="1" applyFont="1" applyAlignment="1">
      <alignment horizontal="left"/>
    </xf>
    <xf numFmtId="0" fontId="43" fillId="0" borderId="0" xfId="26" applyFont="1" applyBorder="1"/>
    <xf numFmtId="0" fontId="44" fillId="0" borderId="0" xfId="27" applyFont="1" applyAlignment="1">
      <alignment horizontal="left"/>
    </xf>
    <xf numFmtId="0" fontId="43" fillId="0" borderId="0" xfId="26" applyFont="1"/>
    <xf numFmtId="0" fontId="45" fillId="0" borderId="14" xfId="26" applyFont="1" applyBorder="1"/>
    <xf numFmtId="0" fontId="43" fillId="0" borderId="14" xfId="26" applyFont="1" applyBorder="1"/>
    <xf numFmtId="0" fontId="22" fillId="0" borderId="0" xfId="27" applyFont="1" applyAlignment="1">
      <alignment horizontal="center"/>
    </xf>
    <xf numFmtId="0" fontId="47" fillId="0" borderId="0" xfId="26" applyFont="1" applyAlignment="1">
      <alignment horizontal="right"/>
    </xf>
    <xf numFmtId="10" fontId="43" fillId="0" borderId="0" xfId="26" applyNumberFormat="1" applyFont="1" applyFill="1"/>
    <xf numFmtId="0" fontId="43" fillId="0" borderId="0" xfId="26" applyFont="1" applyFill="1"/>
    <xf numFmtId="173" fontId="43" fillId="0" borderId="0" xfId="28" applyFont="1" applyFill="1"/>
    <xf numFmtId="173" fontId="43" fillId="0" borderId="0" xfId="28" applyFont="1"/>
    <xf numFmtId="0" fontId="48" fillId="0" borderId="0" xfId="26" applyFont="1"/>
    <xf numFmtId="0" fontId="43" fillId="0" borderId="0" xfId="27" applyFont="1"/>
    <xf numFmtId="0" fontId="49" fillId="0" borderId="0" xfId="26" applyFont="1"/>
    <xf numFmtId="166" fontId="49" fillId="0" borderId="0" xfId="29" applyNumberFormat="1" applyFont="1" applyAlignment="1">
      <alignment horizontal="right"/>
    </xf>
    <xf numFmtId="0" fontId="50" fillId="0" borderId="0" xfId="27" quotePrefix="1" applyFont="1" applyAlignment="1">
      <alignment horizontal="center"/>
    </xf>
    <xf numFmtId="174" fontId="51" fillId="7" borderId="0" xfId="27" applyNumberFormat="1" applyFont="1" applyFill="1"/>
    <xf numFmtId="10" fontId="43" fillId="0" borderId="0" xfId="26" applyNumberFormat="1" applyFont="1"/>
    <xf numFmtId="2" fontId="43" fillId="7" borderId="0" xfId="27" applyNumberFormat="1" applyFont="1" applyFill="1"/>
    <xf numFmtId="9" fontId="43" fillId="7" borderId="0" xfId="27" applyNumberFormat="1" applyFont="1" applyFill="1"/>
    <xf numFmtId="2" fontId="43" fillId="0" borderId="0" xfId="27" applyNumberFormat="1" applyFont="1"/>
    <xf numFmtId="2" fontId="46" fillId="0" borderId="0" xfId="27" applyNumberFormat="1" applyFont="1"/>
    <xf numFmtId="174" fontId="51" fillId="0" borderId="0" xfId="27" applyNumberFormat="1" applyFont="1"/>
    <xf numFmtId="10" fontId="43" fillId="0" borderId="0" xfId="27" applyNumberFormat="1" applyFont="1"/>
    <xf numFmtId="166" fontId="43" fillId="0" borderId="0" xfId="29" applyNumberFormat="1" applyFont="1" applyAlignment="1">
      <alignment horizontal="right"/>
    </xf>
    <xf numFmtId="166" fontId="43" fillId="0" borderId="0" xfId="27" applyNumberFormat="1" applyFont="1"/>
    <xf numFmtId="0" fontId="46" fillId="0" borderId="7" xfId="26" applyFont="1" applyFill="1" applyBorder="1"/>
    <xf numFmtId="0" fontId="46" fillId="0" borderId="8" xfId="26" applyFont="1" applyFill="1" applyBorder="1"/>
    <xf numFmtId="166" fontId="46" fillId="0" borderId="8" xfId="29" applyNumberFormat="1" applyFont="1" applyBorder="1" applyAlignment="1">
      <alignment horizontal="right"/>
    </xf>
    <xf numFmtId="10" fontId="46" fillId="0" borderId="8" xfId="26" applyNumberFormat="1" applyFont="1" applyFill="1" applyBorder="1"/>
    <xf numFmtId="2" fontId="46" fillId="0" borderId="8" xfId="27" applyNumberFormat="1" applyFont="1" applyBorder="1"/>
    <xf numFmtId="166" fontId="46" fillId="0" borderId="8" xfId="27" applyNumberFormat="1" applyFont="1" applyBorder="1"/>
    <xf numFmtId="166" fontId="46" fillId="0" borderId="9" xfId="27" applyNumberFormat="1" applyFont="1" applyBorder="1"/>
    <xf numFmtId="0" fontId="51" fillId="0" borderId="0" xfId="27" applyFont="1"/>
    <xf numFmtId="0" fontId="43" fillId="0" borderId="0" xfId="26" applyFont="1" applyAlignment="1">
      <alignment horizontal="right"/>
    </xf>
    <xf numFmtId="0" fontId="46" fillId="0" borderId="0" xfId="27" applyFont="1"/>
    <xf numFmtId="0" fontId="44" fillId="0" borderId="0" xfId="27" quotePrefix="1" applyFont="1"/>
    <xf numFmtId="0" fontId="43" fillId="7" borderId="0" xfId="26" applyFont="1" applyFill="1"/>
    <xf numFmtId="10" fontId="43" fillId="7" borderId="0" xfId="27" applyNumberFormat="1" applyFont="1" applyFill="1"/>
    <xf numFmtId="2" fontId="46" fillId="0" borderId="15" xfId="27" applyNumberFormat="1" applyFont="1" applyBorder="1"/>
    <xf numFmtId="0" fontId="43" fillId="0" borderId="9" xfId="26" applyFont="1" applyFill="1" applyBorder="1"/>
    <xf numFmtId="8" fontId="24" fillId="0" borderId="0" xfId="0" applyNumberFormat="1" applyFont="1"/>
    <xf numFmtId="175" fontId="46" fillId="0" borderId="7" xfId="28" applyNumberFormat="1" applyFont="1" applyFill="1" applyBorder="1"/>
    <xf numFmtId="6" fontId="24" fillId="0" borderId="0" xfId="0" applyNumberFormat="1" applyFont="1"/>
    <xf numFmtId="176" fontId="24" fillId="0" borderId="0" xfId="0" applyNumberFormat="1" applyFont="1"/>
    <xf numFmtId="10" fontId="43" fillId="0" borderId="0" xfId="28" applyNumberFormat="1" applyFont="1" applyFill="1"/>
    <xf numFmtId="43" fontId="43" fillId="0" borderId="0" xfId="1" applyFont="1" applyFill="1"/>
    <xf numFmtId="44" fontId="24" fillId="8" borderId="0" xfId="0" applyNumberFormat="1" applyFont="1" applyFill="1"/>
    <xf numFmtId="43" fontId="24" fillId="8" borderId="0" xfId="0" applyNumberFormat="1" applyFont="1" applyFill="1"/>
    <xf numFmtId="43" fontId="24" fillId="8" borderId="1" xfId="0" applyNumberFormat="1" applyFont="1" applyFill="1" applyBorder="1"/>
    <xf numFmtId="43" fontId="24" fillId="8" borderId="11" xfId="0" applyNumberFormat="1" applyFont="1" applyFill="1" applyBorder="1"/>
    <xf numFmtId="43" fontId="27" fillId="8" borderId="16" xfId="0" applyNumberFormat="1" applyFont="1" applyFill="1" applyBorder="1"/>
    <xf numFmtId="177" fontId="0" fillId="0" borderId="0" xfId="0" applyNumberFormat="1"/>
    <xf numFmtId="0" fontId="52" fillId="0" borderId="0" xfId="0" applyFont="1"/>
    <xf numFmtId="0" fontId="53" fillId="0" borderId="0" xfId="0" applyFont="1" applyAlignment="1">
      <alignment horizontal="center"/>
    </xf>
    <xf numFmtId="177" fontId="52" fillId="0" borderId="0" xfId="0" applyNumberFormat="1" applyFont="1"/>
    <xf numFmtId="177" fontId="52" fillId="7" borderId="0" xfId="0" applyNumberFormat="1" applyFont="1" applyFill="1"/>
    <xf numFmtId="171" fontId="28" fillId="0" borderId="0" xfId="0" applyNumberFormat="1" applyFont="1"/>
    <xf numFmtId="179" fontId="24" fillId="0" borderId="0" xfId="1" applyNumberFormat="1" applyFont="1"/>
    <xf numFmtId="178" fontId="28" fillId="0" borderId="0" xfId="0" applyNumberFormat="1" applyFont="1"/>
    <xf numFmtId="171" fontId="28" fillId="0" borderId="1" xfId="0" applyNumberFormat="1" applyFont="1" applyBorder="1"/>
    <xf numFmtId="41" fontId="24" fillId="8" borderId="0" xfId="0" applyNumberFormat="1" applyFont="1" applyFill="1"/>
    <xf numFmtId="41" fontId="24" fillId="8" borderId="11" xfId="0" applyNumberFormat="1" applyFont="1" applyFill="1" applyBorder="1"/>
    <xf numFmtId="42" fontId="24" fillId="8" borderId="0" xfId="0" applyNumberFormat="1" applyFont="1" applyFill="1"/>
    <xf numFmtId="180" fontId="56" fillId="0" borderId="0" xfId="30" applyNumberFormat="1" applyFont="1" applyAlignment="1">
      <alignment horizontal="right"/>
    </xf>
    <xf numFmtId="181" fontId="43" fillId="0" borderId="0" xfId="26" applyNumberFormat="1" applyFont="1" applyBorder="1"/>
    <xf numFmtId="177" fontId="58" fillId="0" borderId="0" xfId="0" applyNumberFormat="1" applyFont="1"/>
    <xf numFmtId="10" fontId="43" fillId="0" borderId="0" xfId="26" applyNumberFormat="1" applyFont="1" applyBorder="1"/>
    <xf numFmtId="0" fontId="20" fillId="0" borderId="0" xfId="0" applyFont="1"/>
    <xf numFmtId="0" fontId="59" fillId="0" borderId="0" xfId="0" applyFont="1"/>
    <xf numFmtId="0" fontId="59" fillId="9" borderId="0" xfId="0" applyFont="1" applyFill="1"/>
    <xf numFmtId="0" fontId="60" fillId="0" borderId="0" xfId="0" applyFont="1" applyAlignment="1">
      <alignment wrapText="1"/>
    </xf>
    <xf numFmtId="0" fontId="61" fillId="0" borderId="0" xfId="0" applyFont="1"/>
    <xf numFmtId="0" fontId="6" fillId="0" borderId="0" xfId="0" applyFont="1" applyAlignment="1">
      <alignment horizontal="left" vertical="top"/>
    </xf>
    <xf numFmtId="0" fontId="61" fillId="9" borderId="0" xfId="0" applyFont="1" applyFill="1"/>
    <xf numFmtId="49" fontId="59" fillId="0" borderId="0" xfId="0" applyNumberFormat="1" applyFont="1"/>
    <xf numFmtId="0" fontId="6" fillId="9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5" fillId="6" borderId="0" xfId="0" applyFont="1" applyFill="1"/>
    <xf numFmtId="0" fontId="15" fillId="9" borderId="0" xfId="0" applyFont="1" applyFill="1"/>
    <xf numFmtId="0" fontId="9" fillId="0" borderId="0" xfId="9" applyAlignment="1"/>
    <xf numFmtId="0" fontId="18" fillId="3" borderId="0" xfId="0" applyFont="1" applyFill="1" applyAlignment="1">
      <alignment wrapText="1"/>
    </xf>
    <xf numFmtId="0" fontId="18" fillId="3" borderId="0" xfId="0" applyFont="1" applyFill="1" applyAlignment="1">
      <alignment horizontal="right" wrapText="1"/>
    </xf>
    <xf numFmtId="0" fontId="18" fillId="9" borderId="0" xfId="0" applyFont="1" applyFill="1" applyAlignment="1">
      <alignment horizontal="right" wrapText="1"/>
    </xf>
    <xf numFmtId="0" fontId="62" fillId="3" borderId="0" xfId="0" applyFont="1" applyFill="1" applyAlignment="1">
      <alignment wrapText="1"/>
    </xf>
    <xf numFmtId="0" fontId="62" fillId="3" borderId="0" xfId="0" applyFont="1" applyFill="1" applyAlignment="1">
      <alignment horizontal="right" wrapText="1"/>
    </xf>
    <xf numFmtId="0" fontId="62" fillId="9" borderId="0" xfId="0" applyFont="1" applyFill="1" applyAlignment="1">
      <alignment horizontal="right" wrapText="1"/>
    </xf>
    <xf numFmtId="0" fontId="18" fillId="0" borderId="0" xfId="0" applyFont="1" applyAlignment="1">
      <alignment horizontal="left" vertical="top"/>
    </xf>
    <xf numFmtId="0" fontId="6" fillId="9" borderId="0" xfId="0" applyFont="1" applyFill="1" applyAlignment="1">
      <alignment horizontal="left" vertical="top"/>
    </xf>
    <xf numFmtId="182" fontId="6" fillId="0" borderId="0" xfId="0" applyNumberFormat="1" applyFont="1" applyAlignment="1">
      <alignment horizontal="right" vertical="top" wrapText="1"/>
    </xf>
    <xf numFmtId="182" fontId="6" fillId="9" borderId="0" xfId="0" applyNumberFormat="1" applyFont="1" applyFill="1" applyAlignment="1">
      <alignment horizontal="right" vertical="top" wrapText="1"/>
    </xf>
    <xf numFmtId="43" fontId="59" fillId="0" borderId="0" xfId="0" applyNumberFormat="1" applyFont="1"/>
    <xf numFmtId="182" fontId="18" fillId="0" borderId="17" xfId="0" applyNumberFormat="1" applyFont="1" applyBorder="1" applyAlignment="1">
      <alignment horizontal="right" vertical="top" wrapText="1"/>
    </xf>
    <xf numFmtId="182" fontId="18" fillId="9" borderId="17" xfId="0" applyNumberFormat="1" applyFont="1" applyFill="1" applyBorder="1" applyAlignment="1">
      <alignment horizontal="right" vertical="top" wrapText="1"/>
    </xf>
    <xf numFmtId="10" fontId="6" fillId="0" borderId="0" xfId="2" applyNumberFormat="1" applyFont="1" applyAlignment="1">
      <alignment horizontal="left" vertical="top"/>
    </xf>
    <xf numFmtId="10" fontId="6" fillId="9" borderId="0" xfId="2" applyNumberFormat="1" applyFont="1" applyFill="1" applyAlignment="1">
      <alignment horizontal="left" vertical="top"/>
    </xf>
    <xf numFmtId="10" fontId="59" fillId="0" borderId="0" xfId="0" applyNumberFormat="1" applyFont="1"/>
    <xf numFmtId="44" fontId="59" fillId="0" borderId="0" xfId="0" applyNumberFormat="1" applyFont="1"/>
    <xf numFmtId="10" fontId="6" fillId="0" borderId="0" xfId="2" applyNumberFormat="1" applyFont="1" applyAlignment="1">
      <alignment horizontal="right" vertical="top" wrapText="1"/>
    </xf>
    <xf numFmtId="10" fontId="6" fillId="9" borderId="0" xfId="2" applyNumberFormat="1" applyFont="1" applyFill="1" applyAlignment="1">
      <alignment horizontal="right" vertical="top" wrapText="1"/>
    </xf>
    <xf numFmtId="182" fontId="18" fillId="0" borderId="0" xfId="0" applyNumberFormat="1" applyFont="1" applyAlignment="1">
      <alignment horizontal="right" vertical="top" wrapText="1"/>
    </xf>
    <xf numFmtId="182" fontId="18" fillId="9" borderId="0" xfId="0" applyNumberFormat="1" applyFont="1" applyFill="1" applyAlignment="1">
      <alignment horizontal="right" vertical="top" wrapText="1"/>
    </xf>
    <xf numFmtId="0" fontId="63" fillId="0" borderId="0" xfId="0" applyFont="1"/>
    <xf numFmtId="0" fontId="64" fillId="0" borderId="0" xfId="0" applyFont="1"/>
    <xf numFmtId="0" fontId="64" fillId="8" borderId="0" xfId="0" applyFont="1" applyFill="1"/>
    <xf numFmtId="0" fontId="59" fillId="0" borderId="0" xfId="0" quotePrefix="1" applyFont="1"/>
    <xf numFmtId="182" fontId="65" fillId="0" borderId="17" xfId="0" applyNumberFormat="1" applyFont="1" applyBorder="1" applyAlignment="1">
      <alignment horizontal="right" vertical="top" wrapText="1"/>
    </xf>
    <xf numFmtId="182" fontId="65" fillId="9" borderId="17" xfId="0" applyNumberFormat="1" applyFont="1" applyFill="1" applyBorder="1" applyAlignment="1">
      <alignment horizontal="right" vertical="top" wrapText="1"/>
    </xf>
    <xf numFmtId="183" fontId="6" fillId="0" borderId="0" xfId="0" applyNumberFormat="1" applyFont="1" applyAlignment="1">
      <alignment horizontal="right" vertical="top" wrapText="1"/>
    </xf>
    <xf numFmtId="183" fontId="6" fillId="9" borderId="0" xfId="0" applyNumberFormat="1" applyFont="1" applyFill="1" applyAlignment="1">
      <alignment horizontal="right" vertical="top" wrapText="1"/>
    </xf>
    <xf numFmtId="184" fontId="6" fillId="0" borderId="0" xfId="0" applyNumberFormat="1" applyFont="1" applyAlignment="1">
      <alignment horizontal="right" vertical="top" wrapText="1"/>
    </xf>
    <xf numFmtId="184" fontId="6" fillId="9" borderId="0" xfId="0" applyNumberFormat="1" applyFont="1" applyFill="1" applyAlignment="1">
      <alignment horizontal="right" vertical="top" wrapText="1"/>
    </xf>
    <xf numFmtId="185" fontId="6" fillId="0" borderId="0" xfId="0" applyNumberFormat="1" applyFont="1" applyAlignment="1">
      <alignment horizontal="right" vertical="top" wrapText="1"/>
    </xf>
    <xf numFmtId="185" fontId="6" fillId="9" borderId="0" xfId="0" applyNumberFormat="1" applyFont="1" applyFill="1" applyAlignment="1">
      <alignment horizontal="right" vertical="top" wrapText="1"/>
    </xf>
    <xf numFmtId="10" fontId="59" fillId="0" borderId="0" xfId="2" applyNumberFormat="1" applyFont="1"/>
    <xf numFmtId="186" fontId="6" fillId="0" borderId="0" xfId="0" applyNumberFormat="1" applyFont="1" applyAlignment="1">
      <alignment horizontal="right" vertical="top" wrapText="1"/>
    </xf>
    <xf numFmtId="186" fontId="6" fillId="9" borderId="0" xfId="0" applyNumberFormat="1" applyFont="1" applyFill="1" applyAlignment="1">
      <alignment horizontal="right" vertical="top" wrapText="1"/>
    </xf>
    <xf numFmtId="187" fontId="6" fillId="0" borderId="0" xfId="0" applyNumberFormat="1" applyFont="1" applyAlignment="1">
      <alignment horizontal="right" vertical="top" wrapText="1"/>
    </xf>
    <xf numFmtId="187" fontId="6" fillId="9" borderId="0" xfId="0" applyNumberFormat="1" applyFont="1" applyFill="1" applyAlignment="1">
      <alignment horizontal="right" vertical="top" wrapText="1"/>
    </xf>
    <xf numFmtId="49" fontId="6" fillId="0" borderId="0" xfId="0" applyNumberFormat="1" applyFont="1" applyAlignment="1">
      <alignment horizontal="right" vertical="top" wrapText="1"/>
    </xf>
    <xf numFmtId="49" fontId="6" fillId="9" borderId="0" xfId="0" applyNumberFormat="1" applyFont="1" applyFill="1" applyAlignment="1">
      <alignment horizontal="right" vertical="top" wrapText="1"/>
    </xf>
    <xf numFmtId="0" fontId="59" fillId="0" borderId="0" xfId="0" applyFont="1" applyAlignment="1">
      <alignment vertical="top" wrapText="1"/>
    </xf>
    <xf numFmtId="0" fontId="59" fillId="9" borderId="0" xfId="0" applyFont="1" applyFill="1" applyAlignment="1">
      <alignment vertical="top" wrapText="1"/>
    </xf>
    <xf numFmtId="0" fontId="6" fillId="0" borderId="0" xfId="0" applyFont="1" applyAlignment="1">
      <alignment horizontal="center" vertical="center"/>
    </xf>
    <xf numFmtId="187" fontId="18" fillId="3" borderId="0" xfId="0" applyNumberFormat="1" applyFont="1" applyFill="1" applyAlignment="1">
      <alignment horizontal="right" wrapText="1"/>
    </xf>
    <xf numFmtId="43" fontId="6" fillId="0" borderId="0" xfId="0" applyNumberFormat="1" applyFont="1" applyAlignment="1">
      <alignment horizontal="left" vertical="top"/>
    </xf>
    <xf numFmtId="43" fontId="6" fillId="0" borderId="0" xfId="2" applyNumberFormat="1" applyFont="1" applyAlignment="1">
      <alignment horizontal="left" vertical="top"/>
    </xf>
    <xf numFmtId="182" fontId="66" fillId="0" borderId="0" xfId="0" applyNumberFormat="1" applyFont="1" applyAlignment="1">
      <alignment horizontal="right" vertical="top" wrapText="1"/>
    </xf>
    <xf numFmtId="182" fontId="65" fillId="0" borderId="0" xfId="0" applyNumberFormat="1" applyFont="1" applyAlignment="1">
      <alignment horizontal="right" vertical="top" wrapText="1"/>
    </xf>
    <xf numFmtId="2" fontId="6" fillId="0" borderId="0" xfId="2" applyNumberFormat="1" applyFont="1" applyAlignment="1">
      <alignment horizontal="right" vertical="top" wrapText="1"/>
    </xf>
    <xf numFmtId="2" fontId="59" fillId="0" borderId="0" xfId="0" applyNumberFormat="1" applyFont="1"/>
    <xf numFmtId="188" fontId="6" fillId="0" borderId="0" xfId="0" applyNumberFormat="1" applyFont="1" applyAlignment="1">
      <alignment horizontal="right" vertical="top" wrapText="1"/>
    </xf>
    <xf numFmtId="0" fontId="18" fillId="0" borderId="0" xfId="0" applyFont="1"/>
    <xf numFmtId="0" fontId="59" fillId="0" borderId="0" xfId="0" applyFont="1" applyAlignment="1">
      <alignment horizontal="left"/>
    </xf>
    <xf numFmtId="190" fontId="59" fillId="0" borderId="0" xfId="0" applyNumberFormat="1" applyFont="1" applyAlignment="1">
      <alignment horizontal="left"/>
    </xf>
    <xf numFmtId="7" fontId="59" fillId="0" borderId="0" xfId="0" applyNumberFormat="1" applyFont="1" applyAlignment="1">
      <alignment horizontal="left"/>
    </xf>
    <xf numFmtId="10" fontId="59" fillId="0" borderId="0" xfId="2" applyNumberFormat="1" applyFont="1" applyAlignment="1">
      <alignment horizontal="left"/>
    </xf>
    <xf numFmtId="166" fontId="59" fillId="0" borderId="0" xfId="2" applyNumberFormat="1" applyFont="1" applyAlignment="1">
      <alignment horizontal="left"/>
    </xf>
    <xf numFmtId="180" fontId="59" fillId="0" borderId="0" xfId="0" applyNumberFormat="1" applyFont="1"/>
    <xf numFmtId="9" fontId="59" fillId="9" borderId="0" xfId="2" applyFont="1" applyFill="1"/>
    <xf numFmtId="2" fontId="59" fillId="9" borderId="0" xfId="0" applyNumberFormat="1" applyFont="1" applyFill="1"/>
    <xf numFmtId="7" fontId="59" fillId="0" borderId="0" xfId="0" applyNumberFormat="1" applyFont="1"/>
    <xf numFmtId="189" fontId="59" fillId="0" borderId="0" xfId="0" applyNumberFormat="1" applyFont="1"/>
    <xf numFmtId="0" fontId="59" fillId="0" borderId="18" xfId="0" applyFont="1" applyBorder="1" applyAlignment="1">
      <alignment horizontal="left"/>
    </xf>
    <xf numFmtId="2" fontId="59" fillId="0" borderId="0" xfId="2" applyNumberFormat="1" applyFont="1"/>
    <xf numFmtId="10" fontId="67" fillId="0" borderId="0" xfId="0" applyNumberFormat="1" applyFont="1"/>
    <xf numFmtId="0" fontId="70" fillId="0" borderId="0" xfId="35"/>
    <xf numFmtId="0" fontId="71" fillId="11" borderId="15" xfId="0" applyFont="1" applyFill="1" applyBorder="1" applyAlignment="1">
      <alignment horizontal="center" vertical="center" wrapText="1"/>
    </xf>
    <xf numFmtId="0" fontId="72" fillId="10" borderId="15" xfId="0" applyFont="1" applyFill="1" applyBorder="1" applyAlignment="1">
      <alignment vertical="center" wrapText="1"/>
    </xf>
    <xf numFmtId="0" fontId="72" fillId="0" borderId="15" xfId="0" applyFont="1" applyBorder="1"/>
    <xf numFmtId="9" fontId="72" fillId="0" borderId="15" xfId="0" applyNumberFormat="1" applyFont="1" applyBorder="1"/>
    <xf numFmtId="166" fontId="72" fillId="0" borderId="15" xfId="2" applyNumberFormat="1" applyFont="1" applyBorder="1"/>
    <xf numFmtId="10" fontId="72" fillId="0" borderId="15" xfId="0" applyNumberFormat="1" applyFont="1" applyBorder="1"/>
    <xf numFmtId="166" fontId="0" fillId="0" borderId="0" xfId="2" applyNumberFormat="1" applyFont="1"/>
    <xf numFmtId="10" fontId="0" fillId="0" borderId="0" xfId="2" applyNumberFormat="1" applyFont="1"/>
    <xf numFmtId="0" fontId="74" fillId="0" borderId="0" xfId="0" applyFont="1"/>
    <xf numFmtId="0" fontId="73" fillId="12" borderId="0" xfId="0" applyFont="1" applyFill="1"/>
    <xf numFmtId="0" fontId="73" fillId="13" borderId="0" xfId="0" applyFont="1" applyFill="1"/>
    <xf numFmtId="3" fontId="73" fillId="13" borderId="0" xfId="0" applyNumberFormat="1" applyFont="1" applyFill="1"/>
    <xf numFmtId="0" fontId="73" fillId="14" borderId="0" xfId="0" applyFont="1" applyFill="1"/>
    <xf numFmtId="15" fontId="74" fillId="0" borderId="0" xfId="0" applyNumberFormat="1" applyFont="1"/>
    <xf numFmtId="3" fontId="74" fillId="0" borderId="0" xfId="0" applyNumberFormat="1" applyFont="1"/>
    <xf numFmtId="4" fontId="74" fillId="0" borderId="0" xfId="0" applyNumberFormat="1" applyFont="1"/>
    <xf numFmtId="3" fontId="73" fillId="12" borderId="0" xfId="0" applyNumberFormat="1" applyFont="1" applyFill="1"/>
    <xf numFmtId="0" fontId="74" fillId="15" borderId="0" xfId="0" applyFont="1" applyFill="1" applyAlignment="1">
      <alignment wrapText="1"/>
    </xf>
    <xf numFmtId="10" fontId="74" fillId="15" borderId="0" xfId="2" applyNumberFormat="1" applyFont="1" applyFill="1"/>
    <xf numFmtId="0" fontId="1" fillId="0" borderId="0" xfId="36"/>
    <xf numFmtId="4" fontId="76" fillId="0" borderId="0" xfId="36" applyNumberFormat="1" applyFont="1"/>
    <xf numFmtId="2" fontId="75" fillId="0" borderId="0" xfId="36" applyNumberFormat="1" applyFont="1"/>
    <xf numFmtId="0" fontId="75" fillId="0" borderId="0" xfId="36" applyFont="1"/>
    <xf numFmtId="4" fontId="69" fillId="0" borderId="0" xfId="36" applyNumberFormat="1" applyFont="1"/>
    <xf numFmtId="0" fontId="69" fillId="0" borderId="0" xfId="36" applyFont="1"/>
    <xf numFmtId="0" fontId="68" fillId="0" borderId="0" xfId="36" applyFont="1" applyAlignment="1">
      <alignment wrapText="1"/>
    </xf>
    <xf numFmtId="191" fontId="1" fillId="0" borderId="0" xfId="36" applyNumberFormat="1"/>
    <xf numFmtId="0" fontId="1" fillId="0" borderId="15" xfId="36" applyBorder="1"/>
    <xf numFmtId="191" fontId="1" fillId="0" borderId="15" xfId="36" applyNumberFormat="1" applyBorder="1"/>
    <xf numFmtId="0" fontId="75" fillId="0" borderId="15" xfId="36" applyFont="1" applyBorder="1"/>
    <xf numFmtId="0" fontId="75" fillId="0" borderId="15" xfId="36" applyFont="1" applyBorder="1" applyAlignment="1">
      <alignment horizontal="right"/>
    </xf>
    <xf numFmtId="4" fontId="78" fillId="0" borderId="0" xfId="36" applyNumberFormat="1" applyFont="1"/>
    <xf numFmtId="0" fontId="68" fillId="0" borderId="15" xfId="36" applyFont="1" applyBorder="1" applyAlignment="1">
      <alignment horizontal="center" vertical="center" wrapText="1"/>
    </xf>
    <xf numFmtId="0" fontId="69" fillId="0" borderId="15" xfId="36" applyFont="1" applyBorder="1" applyAlignment="1">
      <alignment horizontal="center" vertical="center"/>
    </xf>
    <xf numFmtId="4" fontId="69" fillId="0" borderId="15" xfId="36" applyNumberFormat="1" applyFont="1" applyBorder="1" applyAlignment="1">
      <alignment horizontal="center" vertical="center"/>
    </xf>
    <xf numFmtId="4" fontId="77" fillId="0" borderId="15" xfId="36" applyNumberFormat="1" applyFont="1" applyBorder="1" applyAlignment="1">
      <alignment horizontal="center" vertical="center"/>
    </xf>
    <xf numFmtId="0" fontId="75" fillId="0" borderId="15" xfId="36" applyFont="1" applyBorder="1" applyAlignment="1">
      <alignment horizontal="center" vertical="center"/>
    </xf>
    <xf numFmtId="2" fontId="75" fillId="0" borderId="15" xfId="36" applyNumberFormat="1" applyFont="1" applyBorder="1" applyAlignment="1">
      <alignment horizontal="center" vertical="center"/>
    </xf>
    <xf numFmtId="2" fontId="75" fillId="9" borderId="15" xfId="36" applyNumberFormat="1" applyFont="1" applyFill="1" applyBorder="1" applyAlignment="1">
      <alignment horizontal="center" vertical="center"/>
    </xf>
    <xf numFmtId="189" fontId="59" fillId="0" borderId="0" xfId="0" applyNumberFormat="1" applyFont="1" applyAlignment="1">
      <alignment horizontal="right"/>
    </xf>
    <xf numFmtId="0" fontId="59" fillId="0" borderId="0" xfId="0" applyFont="1" applyAlignment="1">
      <alignment horizontal="left" wrapText="1"/>
    </xf>
    <xf numFmtId="0" fontId="59" fillId="0" borderId="0" xfId="0" applyFont="1" applyAlignment="1">
      <alignment horizontal="left"/>
    </xf>
    <xf numFmtId="189" fontId="59" fillId="0" borderId="0" xfId="0" applyNumberFormat="1" applyFont="1" applyAlignment="1">
      <alignment horizontal="right" wrapText="1"/>
    </xf>
    <xf numFmtId="0" fontId="59" fillId="0" borderId="0" xfId="0" applyFont="1" applyAlignment="1">
      <alignment horizontal="right" wrapText="1"/>
    </xf>
    <xf numFmtId="2" fontId="59" fillId="0" borderId="0" xfId="0" applyNumberFormat="1" applyFont="1" applyAlignment="1">
      <alignment horizontal="right" wrapText="1"/>
    </xf>
    <xf numFmtId="189" fontId="59" fillId="0" borderId="0" xfId="0" applyNumberFormat="1" applyFont="1" applyAlignment="1">
      <alignment horizontal="left"/>
    </xf>
    <xf numFmtId="189" fontId="59" fillId="0" borderId="18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189" fontId="59" fillId="0" borderId="18" xfId="0" applyNumberFormat="1" applyFont="1" applyBorder="1" applyAlignment="1">
      <alignment horizontal="right" wrapText="1"/>
    </xf>
    <xf numFmtId="0" fontId="73" fillId="0" borderId="0" xfId="0" applyFont="1" applyAlignment="1"/>
    <xf numFmtId="0" fontId="59" fillId="0" borderId="0" xfId="0" applyFont="1" applyAlignment="1"/>
    <xf numFmtId="0" fontId="59" fillId="0" borderId="18" xfId="0" applyFont="1" applyBorder="1" applyAlignment="1"/>
    <xf numFmtId="2" fontId="59" fillId="0" borderId="0" xfId="0" applyNumberFormat="1" applyFont="1" applyAlignment="1"/>
  </cellXfs>
  <cellStyles count="37">
    <cellStyle name="c_HardInc " xfId="5" xr:uid="{00000000-0005-0000-0000-000000000000}"/>
    <cellStyle name="ChartingText" xfId="6" xr:uid="{00000000-0005-0000-0000-000001000000}"/>
    <cellStyle name="ColumnHeaderNormal" xfId="7" xr:uid="{00000000-0005-0000-0000-000002000000}"/>
    <cellStyle name="Comma" xfId="1" builtinId="3"/>
    <cellStyle name="Comma 2" xfId="4" xr:uid="{00000000-0005-0000-0000-000004000000}"/>
    <cellStyle name="Comma 3" xfId="34" xr:uid="{F9A74926-B010-4210-B80B-AE6DBE5C1CEF}"/>
    <cellStyle name="Currency" xfId="30" builtinId="4"/>
    <cellStyle name="Currency 2" xfId="8" xr:uid="{00000000-0005-0000-0000-000005000000}"/>
    <cellStyle name="Currency 3" xfId="33" xr:uid="{6C7B5FC3-B5FC-4BF1-A6C5-674F5A70DD65}"/>
    <cellStyle name="Hyperlink" xfId="35" builtinId="8"/>
    <cellStyle name="Invisible" xfId="9" xr:uid="{00000000-0005-0000-0000-000006000000}"/>
    <cellStyle name="NewColumnHeaderNormal" xfId="10" xr:uid="{00000000-0005-0000-0000-000007000000}"/>
    <cellStyle name="NewSectionHeaderNormal" xfId="11" xr:uid="{00000000-0005-0000-0000-000008000000}"/>
    <cellStyle name="NewTitleNormal" xfId="12" xr:uid="{00000000-0005-0000-0000-000009000000}"/>
    <cellStyle name="Normal" xfId="0" builtinId="0"/>
    <cellStyle name="Normal 2" xfId="3" xr:uid="{00000000-0005-0000-0000-00000B000000}"/>
    <cellStyle name="Normal 2 2" xfId="13" xr:uid="{00000000-0005-0000-0000-00000C000000}"/>
    <cellStyle name="Normal 3" xfId="14" xr:uid="{00000000-0005-0000-0000-00000D000000}"/>
    <cellStyle name="Normal 4" xfId="15" xr:uid="{00000000-0005-0000-0000-00000E000000}"/>
    <cellStyle name="Normal 5" xfId="27" xr:uid="{00000000-0005-0000-0000-00000F000000}"/>
    <cellStyle name="Normal 6" xfId="31" xr:uid="{7DCAD3A3-4C09-4777-8432-78EF32647C89}"/>
    <cellStyle name="Normal 7" xfId="36" xr:uid="{1E4D3B6E-F191-4780-988A-1123B50AE1B3}"/>
    <cellStyle name="Normal_JuliaWACC" xfId="26" xr:uid="{00000000-0005-0000-0000-000010000000}"/>
    <cellStyle name="Normal_NikeWACC" xfId="29" xr:uid="{00000000-0005-0000-0000-000011000000}"/>
    <cellStyle name="Percent" xfId="2" builtinId="5"/>
    <cellStyle name="Percent [1]" xfId="28" xr:uid="{00000000-0005-0000-0000-000013000000}"/>
    <cellStyle name="Percent 2" xfId="16" xr:uid="{00000000-0005-0000-0000-000014000000}"/>
    <cellStyle name="Percent 3" xfId="32" xr:uid="{EB49FA62-0BA8-44A8-B6CE-356FFA9EBB15}"/>
    <cellStyle name="s_HardInc " xfId="17" xr:uid="{00000000-0005-0000-0000-000015000000}"/>
    <cellStyle name="SectionHeaderNormal" xfId="18" xr:uid="{00000000-0005-0000-0000-000016000000}"/>
    <cellStyle name="SubScript" xfId="19" xr:uid="{00000000-0005-0000-0000-000017000000}"/>
    <cellStyle name="SuperScript" xfId="20" xr:uid="{00000000-0005-0000-0000-000018000000}"/>
    <cellStyle name="TextBold" xfId="21" xr:uid="{00000000-0005-0000-0000-000019000000}"/>
    <cellStyle name="TextItalic" xfId="22" xr:uid="{00000000-0005-0000-0000-00001A000000}"/>
    <cellStyle name="TextNormal" xfId="23" xr:uid="{00000000-0005-0000-0000-00001B000000}"/>
    <cellStyle name="TitleNormal" xfId="24" xr:uid="{00000000-0005-0000-0000-00001C000000}"/>
    <cellStyle name="Total 2" xfId="25" xr:uid="{00000000-0005-0000-0000-00001D000000}"/>
  </cellStyles>
  <dxfs count="1"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250"/>
      <c:rotY val="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3175">
          <a:solidFill>
            <a:srgbClr val="969696"/>
          </a:solidFill>
          <a:prstDash val="solid"/>
        </a:ln>
      </c:spPr>
    </c:sideWall>
    <c:backWall>
      <c:thickness val="0"/>
      <c:spPr>
        <a:noFill/>
        <a:ln w="3175">
          <a:solidFill>
            <a:srgbClr val="969696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37700690830203387"/>
          <c:y val="6.2860118407498389E-2"/>
          <c:w val="0.72166607937330807"/>
          <c:h val="0.87550029120330708"/>
        </c:manualLayout>
      </c:layout>
      <c:bar3DChart>
        <c:barDir val="bar"/>
        <c:grouping val="stacked"/>
        <c:varyColors val="0"/>
        <c:ser>
          <c:idx val="1"/>
          <c:order val="0"/>
          <c:spPr>
            <a:noFill/>
            <a:ln w="25400">
              <a:noFill/>
            </a:ln>
          </c:spPr>
          <c:invertIfNegative val="0"/>
          <c:cat>
            <c:strRef>
              <c:f>FootballField!$B$3:$B$8</c:f>
              <c:strCache>
                <c:ptCount val="6"/>
                <c:pt idx="0">
                  <c:v>DCF Stand Alone Base WACC 8.48%</c:v>
                </c:pt>
                <c:pt idx="1">
                  <c:v>Exit Multiple Comparables WACC 8.48%</c:v>
                </c:pt>
                <c:pt idx="2">
                  <c:v>DCF Stand Alone Base WACC 10%</c:v>
                </c:pt>
                <c:pt idx="3">
                  <c:v>Exit Multiple Comparables WACC 10%</c:v>
                </c:pt>
                <c:pt idx="4">
                  <c:v>DCF Stand Alone Base WACC 12%</c:v>
                </c:pt>
                <c:pt idx="5">
                  <c:v>Exit Multiple Comparables WACC 12%</c:v>
                </c:pt>
              </c:strCache>
            </c:strRef>
          </c:cat>
          <c:val>
            <c:numRef>
              <c:f>FootballField!$C$3:$C$8</c:f>
              <c:numCache>
                <c:formatCode>"$"#,##0.0_);[Red]\("$"#,##0.0\)</c:formatCode>
                <c:ptCount val="6"/>
                <c:pt idx="0">
                  <c:v>348.85173420254836</c:v>
                </c:pt>
                <c:pt idx="1">
                  <c:v>512.50702907043899</c:v>
                </c:pt>
                <c:pt idx="2">
                  <c:v>277.54206682559175</c:v>
                </c:pt>
                <c:pt idx="3">
                  <c:v>459.87098211805426</c:v>
                </c:pt>
                <c:pt idx="4">
                  <c:v>212.57673399656522</c:v>
                </c:pt>
                <c:pt idx="5">
                  <c:v>399.47266111017871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2-4FA9-85DE-D86D0DBAB873}"/>
            </c:ext>
          </c:extLst>
        </c:ser>
        <c:ser>
          <c:idx val="2"/>
          <c:order val="1"/>
          <c:spPr>
            <a:solidFill>
              <a:srgbClr val="DD080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00641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482-4FA9-85DE-D86D0DBAB873}"/>
              </c:ext>
            </c:extLst>
          </c:dPt>
          <c:dPt>
            <c:idx val="3"/>
            <c:invertIfNegative val="0"/>
            <c:bubble3D val="0"/>
            <c:spPr>
              <a:solidFill>
                <a:srgbClr val="00641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482-4FA9-85DE-D86D0DBAB873}"/>
              </c:ext>
            </c:extLst>
          </c:dPt>
          <c:dPt>
            <c:idx val="4"/>
            <c:invertIfNegative val="0"/>
            <c:bubble3D val="0"/>
            <c:spPr>
              <a:solidFill>
                <a:srgbClr val="0000D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482-4FA9-85DE-D86D0DBAB873}"/>
              </c:ext>
            </c:extLst>
          </c:dPt>
          <c:dPt>
            <c:idx val="5"/>
            <c:invertIfNegative val="0"/>
            <c:bubble3D val="0"/>
            <c:spPr>
              <a:solidFill>
                <a:srgbClr val="0000D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482-4FA9-85DE-D86D0DBAB873}"/>
              </c:ext>
            </c:extLst>
          </c:dPt>
          <c:cat>
            <c:strRef>
              <c:f>FootballField!$B$3:$B$8</c:f>
              <c:strCache>
                <c:ptCount val="6"/>
                <c:pt idx="0">
                  <c:v>DCF Stand Alone Base WACC 8.48%</c:v>
                </c:pt>
                <c:pt idx="1">
                  <c:v>Exit Multiple Comparables WACC 8.48%</c:v>
                </c:pt>
                <c:pt idx="2">
                  <c:v>DCF Stand Alone Base WACC 10%</c:v>
                </c:pt>
                <c:pt idx="3">
                  <c:v>Exit Multiple Comparables WACC 10%</c:v>
                </c:pt>
                <c:pt idx="4">
                  <c:v>DCF Stand Alone Base WACC 12%</c:v>
                </c:pt>
                <c:pt idx="5">
                  <c:v>Exit Multiple Comparables WACC 12%</c:v>
                </c:pt>
              </c:strCache>
            </c:strRef>
          </c:cat>
          <c:val>
            <c:numRef>
              <c:f>FootballField!$D$3:$D$8</c:f>
              <c:numCache>
                <c:formatCode>"$"#,##0.0_);[Red]\("$"#,##0.0\)</c:formatCode>
                <c:ptCount val="6"/>
                <c:pt idx="0">
                  <c:v>337.06855462553659</c:v>
                </c:pt>
                <c:pt idx="1">
                  <c:v>161.82745039649706</c:v>
                </c:pt>
                <c:pt idx="2">
                  <c:v>203.64170214121998</c:v>
                </c:pt>
                <c:pt idx="3">
                  <c:v>144.2325362457633</c:v>
                </c:pt>
                <c:pt idx="4">
                  <c:v>119.80895311293591</c:v>
                </c:pt>
                <c:pt idx="5">
                  <c:v>124.26620209292514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82-4FA9-85DE-D86D0DBAB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395620304"/>
        <c:axId val="-1395627376"/>
        <c:axId val="0"/>
      </c:bar3DChart>
      <c:catAx>
        <c:axId val="-1395620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39562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395627376"/>
        <c:scaling>
          <c:orientation val="minMax"/>
          <c:max val="700"/>
          <c:min val="20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&quot;$&quot;#,##0.0_);[Red]\(&quot;$&quot;#,##0.0\)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395620304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974271</xdr:colOff>
      <xdr:row>10</xdr:row>
      <xdr:rowOff>130629</xdr:rowOff>
    </xdr:from>
    <xdr:to>
      <xdr:col>10</xdr:col>
      <xdr:colOff>193221</xdr:colOff>
      <xdr:row>31</xdr:row>
      <xdr:rowOff>87086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914400</xdr:colOff>
      <xdr:row>2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0C960F8-DEF8-44FC-823D-A91B19EF1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914400</xdr:colOff>
      <xdr:row>2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30625A9-42FA-49E0-AEA7-F79A5BF91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ipelines\West%20Coast%20Pipeline\1%20westpipe%2010-27%20arrange%20by%20est%20close%20da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ofasecurities.com/Silverstein/Companies/Vans/vans_ann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cmsb-my.sharepoint.com/Users/juliaplotts/Documents%20and%20Settings/Julia%20Gardner/Local%20Settings/Temporary%20Internet%20Files/OLK4/JuliaWAC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cmsb-my.sharepoint.com/Documents%20and%20Settings/Julia%20Gardner/Local%20Settings/Temporary%20Internet%20Files/OLK4/JuliaWAC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%20in%20Progress\Ind%20-%20Food%20&amp;%20Beverage\harris\Detailed%20Descriptions%20A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cmsb-my.sharepoint.com/Users/juliaplotts/Documents%20and%20Settings/plotts/My%20Documents/FBE529Summer2007/Topic3Valuation/XXXDCFKe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cmsb-my.sharepoint.com/Documents%20and%20Settings/Julia%20Gardner/My%20Documents/FBE%20421/Fall2002/Assignments/NikeWAC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cmsb-my.sharepoint.com/Documents%20and%20Settings/plotts/My%20Documents/FBE529Summer2007/Topic3Valuation/XXXDCFKe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%20in%20Progress\tulip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cmsb-my.sharepoint.com/Users/juliaplotts/Documents%20and%20Settings/Julia%20Gardner/My%20Documents/BAS/Departure2/Models/Models/Training%20Models/crr.dcf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cmsb-my.sharepoint.com/Documents%20and%20Settings/Julia%20Gardner/My%20Documents/BAS/Departure2/Models/Models/Training%20Models/crr.dcf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ulia%20Gardner\My%20Documents\FBE%20421\Fall2002\Class%20Handouts\Handout5-13\10.16.reviewke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cmsb-my.sharepoint.com/@/Sf-user-9/CF%20Shared/Restaurant%20Folder/FOOD&amp;BEV%20COMP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westpipe 10-27 arrange by est"/>
      <sheetName val="Exhange Ratio"/>
      <sheetName val="Entr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DR"/>
      <sheetName val="Rev"/>
      <sheetName val="IS"/>
      <sheetName val="Store-Footage"/>
      <sheetName val="BS"/>
      <sheetName val="CF"/>
      <sheetName val="Tables"/>
      <sheetName val="EPS sensitivity"/>
      <sheetName val="Intl"/>
      <sheetName val="Ownership"/>
      <sheetName val="second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Comp Inputs"/>
      <sheetName val="Trading Multiples"/>
      <sheetName val="Financial Info."/>
      <sheetName val="Margins &amp; Growth"/>
      <sheetName val="Trading &amp; Other"/>
      <sheetName val="WACC"/>
      <sheetName val="Descrip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Comp Inputs"/>
      <sheetName val="Trading Multiples"/>
      <sheetName val="Financial Info."/>
      <sheetName val="Margins &amp; Growth"/>
      <sheetName val="Trading &amp; Other"/>
      <sheetName val="WACC"/>
      <sheetName val="Descrip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Input"/>
      <sheetName val="Output (New)"/>
      <sheetName val="Chart 1"/>
      <sheetName val="Overview"/>
      <sheetName val="Ownership"/>
      <sheetName val="]]Trading Stats"/>
      <sheetName val="]]Rationale"/>
      <sheetName val="]]Prism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S"/>
      <sheetName val="BS"/>
      <sheetName val="Breakout"/>
      <sheetName val="WACC"/>
      <sheetName val="WACC (2)"/>
      <sheetName val="NDFCF"/>
      <sheetName val="DCFTV"/>
      <sheetName val="DCFMult1"/>
      <sheetName val="DCFMult2"/>
      <sheetName val="Sum"/>
      <sheetName val="Valu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WACC (1)"/>
      <sheetName val="WACC (2)"/>
      <sheetName val="Breakout"/>
      <sheetName val="Leases"/>
      <sheetName val="BS"/>
      <sheetName val="IS"/>
      <sheetName val="Comps"/>
      <sheetName val="FactSe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S"/>
      <sheetName val="BS"/>
      <sheetName val="Breakout"/>
      <sheetName val="WACC"/>
      <sheetName val="WACC (2)"/>
      <sheetName val="NDFCF"/>
      <sheetName val="DCFTV"/>
      <sheetName val="DCFMult1"/>
      <sheetName val="DCFMult2"/>
      <sheetName val="Sum"/>
      <sheetName val="Valu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ntry"/>
      <sheetName val="Dollars"/>
      <sheetName val="% Rev"/>
      <sheetName val="Financial"/>
      <sheetName val="Equity"/>
      <sheetName val="Equity (2)"/>
      <sheetName val="Credit"/>
      <sheetName val="Beta"/>
      <sheetName val="Chart 1"/>
      <sheetName val="Chart 2"/>
      <sheetName val="LTM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F"/>
      <sheetName val="Synergy DCF"/>
      <sheetName val="WACC"/>
      <sheetName val="Equity"/>
      <sheetName val="Credit"/>
    </sheetNames>
    <sheetDataSet>
      <sheetData sheetId="0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F"/>
      <sheetName val="Synergy DCF"/>
      <sheetName val="WACC"/>
      <sheetName val="Equity"/>
      <sheetName val="Credit"/>
    </sheetNames>
    <sheetDataSet>
      <sheetData sheetId="0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KeyComp1"/>
      <sheetName val="KeyComp2"/>
      <sheetName val="Master Input"/>
      <sheetName val="Financials"/>
      <sheetName val="Multiples"/>
      <sheetName val="Financials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OD&amp;BEV COMPS"/>
      <sheetName val="FOOD&amp;BEV COMPS.xls"/>
    </sheetNames>
    <definedNames>
      <definedName name="Printsheet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usinessofapps.com/data/netflix-statistics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B24B5-0D47-446A-91D2-5A22F3E128AA}">
  <sheetPr>
    <outlinePr summaryBelow="0"/>
  </sheetPr>
  <dimension ref="A1:H25"/>
  <sheetViews>
    <sheetView topLeftCell="A3" zoomScale="102" workbookViewId="0">
      <selection activeCell="D20" sqref="D20"/>
    </sheetView>
  </sheetViews>
  <sheetFormatPr defaultColWidth="9" defaultRowHeight="15"/>
  <cols>
    <col min="1" max="1" width="17.7109375" style="268" bestFit="1" customWidth="1"/>
    <col min="2" max="2" width="31.7109375" style="268" bestFit="1" customWidth="1"/>
    <col min="3" max="3" width="19.28515625" style="268" hidden="1" customWidth="1"/>
    <col min="4" max="4" width="20.140625" style="268" bestFit="1" customWidth="1"/>
    <col min="5" max="5" width="19.140625" style="268" bestFit="1" customWidth="1"/>
    <col min="6" max="6" width="18.7109375" style="268" bestFit="1" customWidth="1"/>
    <col min="7" max="7" width="21" style="268" bestFit="1" customWidth="1"/>
    <col min="8" max="8" width="20.42578125" style="268" bestFit="1" customWidth="1"/>
    <col min="9" max="16384" width="9" style="268"/>
  </cols>
  <sheetData>
    <row r="1" spans="1:8" ht="45" collapsed="1">
      <c r="A1" s="274" t="s">
        <v>0</v>
      </c>
      <c r="B1" s="281" t="s">
        <v>1</v>
      </c>
      <c r="C1" s="281" t="s">
        <v>2</v>
      </c>
      <c r="D1" s="281" t="s">
        <v>3</v>
      </c>
      <c r="E1" s="274" t="s">
        <v>4</v>
      </c>
      <c r="F1" s="274" t="s">
        <v>5</v>
      </c>
      <c r="G1" s="274" t="s">
        <v>6</v>
      </c>
      <c r="H1" s="274" t="s">
        <v>7</v>
      </c>
    </row>
    <row r="2" spans="1:8" hidden="1" collapsed="1">
      <c r="A2" s="273" t="s">
        <v>8</v>
      </c>
      <c r="B2" s="282" t="s">
        <v>9</v>
      </c>
      <c r="C2" s="283">
        <v>4.3406337701273499</v>
      </c>
      <c r="D2" s="283">
        <v>19.691290403953602</v>
      </c>
      <c r="E2" s="272">
        <v>27.188162877770601</v>
      </c>
      <c r="F2" s="272">
        <v>5.9265188753555904</v>
      </c>
      <c r="G2" s="272">
        <v>4.1529613682069799</v>
      </c>
      <c r="H2" s="272">
        <v>163616285890</v>
      </c>
    </row>
    <row r="3" spans="1:8" collapsed="1">
      <c r="A3" s="273" t="s">
        <v>10</v>
      </c>
      <c r="B3" s="282" t="s">
        <v>11</v>
      </c>
      <c r="C3" s="283">
        <v>4.08307847463443</v>
      </c>
      <c r="D3" s="283">
        <v>8.3818806509593795</v>
      </c>
      <c r="E3" s="272">
        <v>18.8860102937143</v>
      </c>
      <c r="F3" s="272">
        <v>3.5471272503354299</v>
      </c>
      <c r="G3" s="272">
        <v>4.3215926407565304</v>
      </c>
      <c r="H3" s="272">
        <v>521104603550</v>
      </c>
    </row>
    <row r="4" spans="1:8" collapsed="1">
      <c r="A4" s="273" t="s">
        <v>12</v>
      </c>
      <c r="B4" s="282" t="s">
        <v>13</v>
      </c>
      <c r="C4" s="283">
        <v>5.4416894717196396</v>
      </c>
      <c r="D4" s="283">
        <v>14.3367782074346</v>
      </c>
      <c r="E4" s="272">
        <v>25.640207718305</v>
      </c>
      <c r="F4" s="272">
        <v>2.9162053991840402</v>
      </c>
      <c r="G4" s="272">
        <v>5.4730248695981096</v>
      </c>
      <c r="H4" s="272">
        <v>183641669890</v>
      </c>
    </row>
    <row r="5" spans="1:8" collapsed="1">
      <c r="A5" s="273" t="s">
        <v>14</v>
      </c>
      <c r="B5" s="282" t="s">
        <v>15</v>
      </c>
      <c r="C5" s="283">
        <v>2.5102156128078499</v>
      </c>
      <c r="D5" s="283">
        <v>13.731214060717299</v>
      </c>
      <c r="E5" s="272">
        <v>20.179100992844301</v>
      </c>
      <c r="F5" s="272">
        <v>1.7257058776301999</v>
      </c>
      <c r="G5" s="272">
        <v>1.94732845757565</v>
      </c>
      <c r="H5" s="272">
        <v>240828613290</v>
      </c>
    </row>
    <row r="6" spans="1:8" collapsed="1">
      <c r="A6" s="273" t="s">
        <v>16</v>
      </c>
      <c r="B6" s="282" t="s">
        <v>17</v>
      </c>
      <c r="C6" s="283">
        <v>1.80907184017732</v>
      </c>
      <c r="D6" s="283">
        <v>6.9035916317411603</v>
      </c>
      <c r="E6" s="272"/>
      <c r="F6" s="272">
        <v>0.69327027940971697</v>
      </c>
      <c r="G6" s="272">
        <v>0.73908681598220505</v>
      </c>
      <c r="H6" s="272">
        <v>76213268270</v>
      </c>
    </row>
    <row r="7" spans="1:8" collapsed="1">
      <c r="A7" s="273" t="s">
        <v>18</v>
      </c>
      <c r="B7" s="282" t="s">
        <v>19</v>
      </c>
      <c r="C7" s="283">
        <v>0.90479722488141801</v>
      </c>
      <c r="D7" s="283">
        <v>10.508105080807599</v>
      </c>
      <c r="E7" s="272">
        <v>21.6920017548298</v>
      </c>
      <c r="F7" s="272">
        <v>0.56839435391585402</v>
      </c>
      <c r="G7" s="272">
        <v>0.47324134310327098</v>
      </c>
      <c r="H7" s="272">
        <v>24318534000</v>
      </c>
    </row>
    <row r="8" spans="1:8" collapsed="1">
      <c r="A8" s="273" t="s">
        <v>20</v>
      </c>
      <c r="B8" s="282" t="s">
        <v>21</v>
      </c>
      <c r="C8" s="283">
        <v>4.0460611016740904</v>
      </c>
      <c r="D8" s="283">
        <v>10.4127346963836</v>
      </c>
      <c r="E8" s="272">
        <v>19.582720686747301</v>
      </c>
      <c r="F8" s="272">
        <v>4.4350720435887299</v>
      </c>
      <c r="G8" s="272">
        <v>4.36467706893791</v>
      </c>
      <c r="H8" s="272">
        <v>1324737644910</v>
      </c>
    </row>
    <row r="9" spans="1:8" hidden="1" collapsed="1">
      <c r="A9" s="273" t="s">
        <v>22</v>
      </c>
      <c r="B9" s="282" t="s">
        <v>23</v>
      </c>
      <c r="C9" s="283">
        <v>1.52296663214404</v>
      </c>
      <c r="D9" s="283"/>
      <c r="E9" s="272"/>
      <c r="F9" s="272">
        <v>9.3213899615108797</v>
      </c>
      <c r="G9" s="272">
        <v>1.6418193076969001</v>
      </c>
      <c r="H9" s="272">
        <v>23921457702.159599</v>
      </c>
    </row>
    <row r="10" spans="1:8" collapsed="1">
      <c r="A10" s="273" t="s">
        <v>24</v>
      </c>
      <c r="B10" s="282" t="s">
        <v>25</v>
      </c>
      <c r="C10" s="283">
        <v>4.6026259166689396</v>
      </c>
      <c r="D10" s="283">
        <v>13.982554591756299</v>
      </c>
      <c r="E10" s="272">
        <v>19.6333059090089</v>
      </c>
      <c r="F10" s="272">
        <v>4.4458554092657199</v>
      </c>
      <c r="G10" s="272">
        <v>4.69168430486096</v>
      </c>
      <c r="H10" s="272">
        <v>33125970800</v>
      </c>
    </row>
    <row r="11" spans="1:8" collapsed="1">
      <c r="A11" s="273" t="s">
        <v>26</v>
      </c>
      <c r="B11" s="282" t="s">
        <v>27</v>
      </c>
      <c r="C11" s="283">
        <v>6.1331576682719904</v>
      </c>
      <c r="D11" s="283">
        <v>15.5554411482732</v>
      </c>
      <c r="E11" s="272">
        <v>21.542282996551801</v>
      </c>
      <c r="F11" s="272">
        <v>2.93978812627009</v>
      </c>
      <c r="G11" s="272">
        <v>7.0237358989199397</v>
      </c>
      <c r="H11" s="272">
        <v>55883335250</v>
      </c>
    </row>
    <row r="12" spans="1:8" hidden="1" collapsed="1">
      <c r="A12" s="273" t="s">
        <v>28</v>
      </c>
      <c r="B12" s="282" t="s">
        <v>29</v>
      </c>
      <c r="C12" s="283">
        <v>6.6318569248747998</v>
      </c>
      <c r="D12" s="284">
        <v>20.5614817809907</v>
      </c>
      <c r="E12" s="280">
        <v>26.066956903908402</v>
      </c>
      <c r="F12" s="272">
        <v>39.690805591554998</v>
      </c>
      <c r="G12" s="272">
        <v>6.48374547111466</v>
      </c>
      <c r="H12" s="272">
        <v>2519708228750</v>
      </c>
    </row>
    <row r="13" spans="1:8" hidden="1" collapsed="1">
      <c r="A13" s="273" t="s">
        <v>30</v>
      </c>
      <c r="B13" s="282" t="s">
        <v>31</v>
      </c>
      <c r="C13" s="283">
        <v>3.2208190449661598</v>
      </c>
      <c r="D13" s="284">
        <v>27.548265640053199</v>
      </c>
      <c r="E13" s="280">
        <v>32.8339348247465</v>
      </c>
      <c r="F13" s="272">
        <v>5.3902195468418199</v>
      </c>
      <c r="G13" s="272">
        <v>3.2604833191499201</v>
      </c>
      <c r="H13" s="272">
        <v>14813369130</v>
      </c>
    </row>
    <row r="14" spans="1:8" collapsed="1">
      <c r="A14" s="273" t="s">
        <v>32</v>
      </c>
      <c r="B14" s="282" t="s">
        <v>33</v>
      </c>
      <c r="C14" s="283">
        <v>1.3892973619384199</v>
      </c>
      <c r="D14" s="283">
        <v>6.9527165646977602</v>
      </c>
      <c r="E14" s="272">
        <v>10.1875149881421</v>
      </c>
      <c r="F14" s="272">
        <v>1.48369054082126</v>
      </c>
      <c r="G14" s="272">
        <v>1.15548070052811</v>
      </c>
      <c r="H14" s="272">
        <v>15010654600</v>
      </c>
    </row>
    <row r="15" spans="1:8" collapsed="1">
      <c r="A15" s="273" t="s">
        <v>34</v>
      </c>
      <c r="B15" s="282" t="s">
        <v>35</v>
      </c>
      <c r="C15" s="283">
        <v>2.0905657279664198</v>
      </c>
      <c r="D15" s="283">
        <v>6.9045869234763204</v>
      </c>
      <c r="E15" s="272">
        <v>9.8215872557800701</v>
      </c>
      <c r="F15" s="272">
        <v>1.7655155572713901</v>
      </c>
      <c r="G15" s="272">
        <v>1.29524431880618</v>
      </c>
      <c r="H15" s="272">
        <v>242838843910</v>
      </c>
    </row>
    <row r="16" spans="1:8" collapsed="1">
      <c r="A16" s="273" t="s">
        <v>36</v>
      </c>
      <c r="B16" s="282" t="s">
        <v>37</v>
      </c>
      <c r="C16" s="283">
        <v>3.7438529151148399</v>
      </c>
      <c r="D16" s="283">
        <v>17.789171035159601</v>
      </c>
      <c r="E16" s="272">
        <v>24.2396996925225</v>
      </c>
      <c r="F16" s="272">
        <v>2.1484743923591001</v>
      </c>
      <c r="G16" s="272">
        <v>3.4323816113149199</v>
      </c>
      <c r="H16" s="272">
        <v>19402727710</v>
      </c>
    </row>
    <row r="17" spans="1:8" collapsed="1">
      <c r="A17" s="273" t="s">
        <v>38</v>
      </c>
      <c r="B17" s="282" t="s">
        <v>39</v>
      </c>
      <c r="C17" s="283">
        <v>1.6524066251780101</v>
      </c>
      <c r="D17" s="283">
        <v>16.317413065234401</v>
      </c>
      <c r="E17" s="272"/>
      <c r="F17" s="272">
        <v>3.52882556596012</v>
      </c>
      <c r="G17" s="272">
        <v>0.60120595923223596</v>
      </c>
      <c r="H17" s="272">
        <v>4125500000</v>
      </c>
    </row>
    <row r="18" spans="1:8" collapsed="1">
      <c r="A18" s="273" t="s">
        <v>40</v>
      </c>
      <c r="B18" s="282" t="s">
        <v>41</v>
      </c>
      <c r="C18" s="283">
        <v>1.4199356339374201</v>
      </c>
      <c r="D18" s="283">
        <v>7.3661538441447503</v>
      </c>
      <c r="E18" s="272">
        <v>14.912752417526701</v>
      </c>
      <c r="F18" s="272"/>
      <c r="G18" s="272">
        <v>1.2523038924169501</v>
      </c>
      <c r="H18" s="272">
        <v>130530000000</v>
      </c>
    </row>
    <row r="19" spans="1:8">
      <c r="A19" s="271" t="s">
        <v>42</v>
      </c>
      <c r="B19" s="285" t="s">
        <v>43</v>
      </c>
      <c r="C19" s="286">
        <f>SUMPRODUCT(C2:C18,H2:H18)/H19</f>
        <v>5.0135021422891652</v>
      </c>
      <c r="D19" s="287">
        <f>(SUMPRODUCT(D3:D8,H3:H8)+SUMPRODUCT(D10:D11,H10:H11)+SUMPRODUCT(D14:D18,H14:H18))/(H19-H9-H12-H13-H2)</f>
        <v>10.227481661040391</v>
      </c>
      <c r="E19" s="271"/>
      <c r="F19" s="270">
        <f>(SUMPRODUCT(F2:F11,H2:H11)+SUMPRODUCT(F13:F17,H13:H17))/(SUM(H2:H17)-H12)</f>
        <v>3.6801549668651314</v>
      </c>
      <c r="H19" s="269">
        <f>SUM(H2:H18)</f>
        <v>5593820707652.1602</v>
      </c>
    </row>
    <row r="21" spans="1:8">
      <c r="C21" s="278"/>
      <c r="D21" s="278"/>
      <c r="E21" s="279" t="s">
        <v>44</v>
      </c>
      <c r="F21" s="279" t="s">
        <v>45</v>
      </c>
    </row>
    <row r="22" spans="1:8">
      <c r="C22" s="278" t="s">
        <v>46</v>
      </c>
      <c r="D22" s="277">
        <f>'Income Statement'!G22</f>
        <v>31615.55</v>
      </c>
      <c r="E22" s="277">
        <f>D22*C19</f>
        <v>158504.62765465022</v>
      </c>
      <c r="F22" s="277">
        <f>E22/$D$25</f>
        <v>365.72981680325404</v>
      </c>
    </row>
    <row r="23" spans="1:8">
      <c r="C23" s="278" t="s">
        <v>47</v>
      </c>
      <c r="D23" s="277">
        <f>'Income Statement'!G86</f>
        <v>5969.5129999999999</v>
      </c>
      <c r="E23" s="277">
        <f>D23*D19</f>
        <v>61053.08473284221</v>
      </c>
      <c r="F23" s="277">
        <f t="shared" ref="F23:F24" si="0">E23/$D$25</f>
        <v>140.87243902598348</v>
      </c>
      <c r="G23" s="275"/>
    </row>
    <row r="24" spans="1:8">
      <c r="C24" s="278" t="s">
        <v>48</v>
      </c>
      <c r="D24" s="277">
        <f>'Balance Sheet'!B38</f>
        <v>19012.741999999998</v>
      </c>
      <c r="E24" s="277">
        <f>D24*F19</f>
        <v>69969.83690502528</v>
      </c>
      <c r="F24" s="277">
        <f t="shared" si="0"/>
        <v>161.44674140861085</v>
      </c>
    </row>
    <row r="25" spans="1:8">
      <c r="C25" s="278" t="s">
        <v>49</v>
      </c>
      <c r="D25" s="277">
        <f>'Balance Sheet'!B69</f>
        <v>433.39268600000003</v>
      </c>
      <c r="E25" s="276"/>
      <c r="F25" s="27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75FAF-5F3B-4C3F-9E0F-C124017F1284}">
  <sheetPr>
    <outlinePr summaryBelow="0" summaryRight="0"/>
    <pageSetUpPr autoPageBreaks="0"/>
  </sheetPr>
  <dimension ref="A1:Y51"/>
  <sheetViews>
    <sheetView topLeftCell="A3" workbookViewId="0">
      <selection activeCell="G55" sqref="G55"/>
    </sheetView>
  </sheetViews>
  <sheetFormatPr defaultRowHeight="11.25"/>
  <cols>
    <col min="1" max="1" width="23" style="171" bestFit="1" customWidth="1"/>
    <col min="2" max="7" width="3.7109375" style="171" customWidth="1"/>
    <col min="8" max="8" width="12" style="171" bestFit="1" customWidth="1"/>
    <col min="9" max="9" width="7.7109375" style="171" bestFit="1" customWidth="1"/>
    <col min="10" max="13" width="3.7109375" style="171" customWidth="1"/>
    <col min="14" max="14" width="12" style="171" bestFit="1" customWidth="1"/>
    <col min="15" max="15" width="7.7109375" style="171" bestFit="1" customWidth="1"/>
    <col min="16" max="19" width="3.7109375" style="171" customWidth="1"/>
    <col min="20" max="20" width="12" style="171" bestFit="1" customWidth="1"/>
    <col min="21" max="21" width="8.42578125" style="171" bestFit="1" customWidth="1"/>
    <col min="22" max="22" width="3.7109375" style="171" customWidth="1"/>
    <col min="23" max="23" width="8.42578125" style="171" bestFit="1" customWidth="1"/>
    <col min="24" max="24" width="7.7109375" style="171" bestFit="1" customWidth="1"/>
    <col min="25" max="25" width="13.5703125" style="171" bestFit="1" customWidth="1"/>
    <col min="26" max="256" width="3.7109375" style="171" customWidth="1"/>
    <col min="257" max="257" width="23" style="171" bestFit="1" customWidth="1"/>
    <col min="258" max="263" width="3.7109375" style="171" customWidth="1"/>
    <col min="264" max="264" width="12" style="171" bestFit="1" customWidth="1"/>
    <col min="265" max="265" width="7.7109375" style="171" bestFit="1" customWidth="1"/>
    <col min="266" max="269" width="3.7109375" style="171" customWidth="1"/>
    <col min="270" max="270" width="12" style="171" bestFit="1" customWidth="1"/>
    <col min="271" max="271" width="7.7109375" style="171" bestFit="1" customWidth="1"/>
    <col min="272" max="275" width="3.7109375" style="171" customWidth="1"/>
    <col min="276" max="276" width="12" style="171" bestFit="1" customWidth="1"/>
    <col min="277" max="277" width="8.42578125" style="171" bestFit="1" customWidth="1"/>
    <col min="278" max="278" width="3.7109375" style="171" customWidth="1"/>
    <col min="279" max="279" width="8.42578125" style="171" bestFit="1" customWidth="1"/>
    <col min="280" max="280" width="7.7109375" style="171" bestFit="1" customWidth="1"/>
    <col min="281" max="281" width="13.5703125" style="171" bestFit="1" customWidth="1"/>
    <col min="282" max="512" width="3.7109375" style="171" customWidth="1"/>
    <col min="513" max="513" width="23" style="171" bestFit="1" customWidth="1"/>
    <col min="514" max="519" width="3.7109375" style="171" customWidth="1"/>
    <col min="520" max="520" width="12" style="171" bestFit="1" customWidth="1"/>
    <col min="521" max="521" width="7.7109375" style="171" bestFit="1" customWidth="1"/>
    <col min="522" max="525" width="3.7109375" style="171" customWidth="1"/>
    <col min="526" max="526" width="12" style="171" bestFit="1" customWidth="1"/>
    <col min="527" max="527" width="7.7109375" style="171" bestFit="1" customWidth="1"/>
    <col min="528" max="531" width="3.7109375" style="171" customWidth="1"/>
    <col min="532" max="532" width="12" style="171" bestFit="1" customWidth="1"/>
    <col min="533" max="533" width="8.42578125" style="171" bestFit="1" customWidth="1"/>
    <col min="534" max="534" width="3.7109375" style="171" customWidth="1"/>
    <col min="535" max="535" width="8.42578125" style="171" bestFit="1" customWidth="1"/>
    <col min="536" max="536" width="7.7109375" style="171" bestFit="1" customWidth="1"/>
    <col min="537" max="537" width="13.5703125" style="171" bestFit="1" customWidth="1"/>
    <col min="538" max="768" width="3.7109375" style="171" customWidth="1"/>
    <col min="769" max="769" width="23" style="171" bestFit="1" customWidth="1"/>
    <col min="770" max="775" width="3.7109375" style="171" customWidth="1"/>
    <col min="776" max="776" width="12" style="171" bestFit="1" customWidth="1"/>
    <col min="777" max="777" width="7.7109375" style="171" bestFit="1" customWidth="1"/>
    <col min="778" max="781" width="3.7109375" style="171" customWidth="1"/>
    <col min="782" max="782" width="12" style="171" bestFit="1" customWidth="1"/>
    <col min="783" max="783" width="7.7109375" style="171" bestFit="1" customWidth="1"/>
    <col min="784" max="787" width="3.7109375" style="171" customWidth="1"/>
    <col min="788" max="788" width="12" style="171" bestFit="1" customWidth="1"/>
    <col min="789" max="789" width="8.42578125" style="171" bestFit="1" customWidth="1"/>
    <col min="790" max="790" width="3.7109375" style="171" customWidth="1"/>
    <col min="791" max="791" width="8.42578125" style="171" bestFit="1" customWidth="1"/>
    <col min="792" max="792" width="7.7109375" style="171" bestFit="1" customWidth="1"/>
    <col min="793" max="793" width="13.5703125" style="171" bestFit="1" customWidth="1"/>
    <col min="794" max="1024" width="3.7109375" style="171" customWidth="1"/>
    <col min="1025" max="1025" width="23" style="171" bestFit="1" customWidth="1"/>
    <col min="1026" max="1031" width="3.7109375" style="171" customWidth="1"/>
    <col min="1032" max="1032" width="12" style="171" bestFit="1" customWidth="1"/>
    <col min="1033" max="1033" width="7.7109375" style="171" bestFit="1" customWidth="1"/>
    <col min="1034" max="1037" width="3.7109375" style="171" customWidth="1"/>
    <col min="1038" max="1038" width="12" style="171" bestFit="1" customWidth="1"/>
    <col min="1039" max="1039" width="7.7109375" style="171" bestFit="1" customWidth="1"/>
    <col min="1040" max="1043" width="3.7109375" style="171" customWidth="1"/>
    <col min="1044" max="1044" width="12" style="171" bestFit="1" customWidth="1"/>
    <col min="1045" max="1045" width="8.42578125" style="171" bestFit="1" customWidth="1"/>
    <col min="1046" max="1046" width="3.7109375" style="171" customWidth="1"/>
    <col min="1047" max="1047" width="8.42578125" style="171" bestFit="1" customWidth="1"/>
    <col min="1048" max="1048" width="7.7109375" style="171" bestFit="1" customWidth="1"/>
    <col min="1049" max="1049" width="13.5703125" style="171" bestFit="1" customWidth="1"/>
    <col min="1050" max="1280" width="3.7109375" style="171" customWidth="1"/>
    <col min="1281" max="1281" width="23" style="171" bestFit="1" customWidth="1"/>
    <col min="1282" max="1287" width="3.7109375" style="171" customWidth="1"/>
    <col min="1288" max="1288" width="12" style="171" bestFit="1" customWidth="1"/>
    <col min="1289" max="1289" width="7.7109375" style="171" bestFit="1" customWidth="1"/>
    <col min="1290" max="1293" width="3.7109375" style="171" customWidth="1"/>
    <col min="1294" max="1294" width="12" style="171" bestFit="1" customWidth="1"/>
    <col min="1295" max="1295" width="7.7109375" style="171" bestFit="1" customWidth="1"/>
    <col min="1296" max="1299" width="3.7109375" style="171" customWidth="1"/>
    <col min="1300" max="1300" width="12" style="171" bestFit="1" customWidth="1"/>
    <col min="1301" max="1301" width="8.42578125" style="171" bestFit="1" customWidth="1"/>
    <col min="1302" max="1302" width="3.7109375" style="171" customWidth="1"/>
    <col min="1303" max="1303" width="8.42578125" style="171" bestFit="1" customWidth="1"/>
    <col min="1304" max="1304" width="7.7109375" style="171" bestFit="1" customWidth="1"/>
    <col min="1305" max="1305" width="13.5703125" style="171" bestFit="1" customWidth="1"/>
    <col min="1306" max="1536" width="3.7109375" style="171" customWidth="1"/>
    <col min="1537" max="1537" width="23" style="171" bestFit="1" customWidth="1"/>
    <col min="1538" max="1543" width="3.7109375" style="171" customWidth="1"/>
    <col min="1544" max="1544" width="12" style="171" bestFit="1" customWidth="1"/>
    <col min="1545" max="1545" width="7.7109375" style="171" bestFit="1" customWidth="1"/>
    <col min="1546" max="1549" width="3.7109375" style="171" customWidth="1"/>
    <col min="1550" max="1550" width="12" style="171" bestFit="1" customWidth="1"/>
    <col min="1551" max="1551" width="7.7109375" style="171" bestFit="1" customWidth="1"/>
    <col min="1552" max="1555" width="3.7109375" style="171" customWidth="1"/>
    <col min="1556" max="1556" width="12" style="171" bestFit="1" customWidth="1"/>
    <col min="1557" max="1557" width="8.42578125" style="171" bestFit="1" customWidth="1"/>
    <col min="1558" max="1558" width="3.7109375" style="171" customWidth="1"/>
    <col min="1559" max="1559" width="8.42578125" style="171" bestFit="1" customWidth="1"/>
    <col min="1560" max="1560" width="7.7109375" style="171" bestFit="1" customWidth="1"/>
    <col min="1561" max="1561" width="13.5703125" style="171" bestFit="1" customWidth="1"/>
    <col min="1562" max="1792" width="3.7109375" style="171" customWidth="1"/>
    <col min="1793" max="1793" width="23" style="171" bestFit="1" customWidth="1"/>
    <col min="1794" max="1799" width="3.7109375" style="171" customWidth="1"/>
    <col min="1800" max="1800" width="12" style="171" bestFit="1" customWidth="1"/>
    <col min="1801" max="1801" width="7.7109375" style="171" bestFit="1" customWidth="1"/>
    <col min="1802" max="1805" width="3.7109375" style="171" customWidth="1"/>
    <col min="1806" max="1806" width="12" style="171" bestFit="1" customWidth="1"/>
    <col min="1807" max="1807" width="7.7109375" style="171" bestFit="1" customWidth="1"/>
    <col min="1808" max="1811" width="3.7109375" style="171" customWidth="1"/>
    <col min="1812" max="1812" width="12" style="171" bestFit="1" customWidth="1"/>
    <col min="1813" max="1813" width="8.42578125" style="171" bestFit="1" customWidth="1"/>
    <col min="1814" max="1814" width="3.7109375" style="171" customWidth="1"/>
    <col min="1815" max="1815" width="8.42578125" style="171" bestFit="1" customWidth="1"/>
    <col min="1816" max="1816" width="7.7109375" style="171" bestFit="1" customWidth="1"/>
    <col min="1817" max="1817" width="13.5703125" style="171" bestFit="1" customWidth="1"/>
    <col min="1818" max="2048" width="3.7109375" style="171" customWidth="1"/>
    <col min="2049" max="2049" width="23" style="171" bestFit="1" customWidth="1"/>
    <col min="2050" max="2055" width="3.7109375" style="171" customWidth="1"/>
    <col min="2056" max="2056" width="12" style="171" bestFit="1" customWidth="1"/>
    <col min="2057" max="2057" width="7.7109375" style="171" bestFit="1" customWidth="1"/>
    <col min="2058" max="2061" width="3.7109375" style="171" customWidth="1"/>
    <col min="2062" max="2062" width="12" style="171" bestFit="1" customWidth="1"/>
    <col min="2063" max="2063" width="7.7109375" style="171" bestFit="1" customWidth="1"/>
    <col min="2064" max="2067" width="3.7109375" style="171" customWidth="1"/>
    <col min="2068" max="2068" width="12" style="171" bestFit="1" customWidth="1"/>
    <col min="2069" max="2069" width="8.42578125" style="171" bestFit="1" customWidth="1"/>
    <col min="2070" max="2070" width="3.7109375" style="171" customWidth="1"/>
    <col min="2071" max="2071" width="8.42578125" style="171" bestFit="1" customWidth="1"/>
    <col min="2072" max="2072" width="7.7109375" style="171" bestFit="1" customWidth="1"/>
    <col min="2073" max="2073" width="13.5703125" style="171" bestFit="1" customWidth="1"/>
    <col min="2074" max="2304" width="3.7109375" style="171" customWidth="1"/>
    <col min="2305" max="2305" width="23" style="171" bestFit="1" customWidth="1"/>
    <col min="2306" max="2311" width="3.7109375" style="171" customWidth="1"/>
    <col min="2312" max="2312" width="12" style="171" bestFit="1" customWidth="1"/>
    <col min="2313" max="2313" width="7.7109375" style="171" bestFit="1" customWidth="1"/>
    <col min="2314" max="2317" width="3.7109375" style="171" customWidth="1"/>
    <col min="2318" max="2318" width="12" style="171" bestFit="1" customWidth="1"/>
    <col min="2319" max="2319" width="7.7109375" style="171" bestFit="1" customWidth="1"/>
    <col min="2320" max="2323" width="3.7109375" style="171" customWidth="1"/>
    <col min="2324" max="2324" width="12" style="171" bestFit="1" customWidth="1"/>
    <col min="2325" max="2325" width="8.42578125" style="171" bestFit="1" customWidth="1"/>
    <col min="2326" max="2326" width="3.7109375" style="171" customWidth="1"/>
    <col min="2327" max="2327" width="8.42578125" style="171" bestFit="1" customWidth="1"/>
    <col min="2328" max="2328" width="7.7109375" style="171" bestFit="1" customWidth="1"/>
    <col min="2329" max="2329" width="13.5703125" style="171" bestFit="1" customWidth="1"/>
    <col min="2330" max="2560" width="3.7109375" style="171" customWidth="1"/>
    <col min="2561" max="2561" width="23" style="171" bestFit="1" customWidth="1"/>
    <col min="2562" max="2567" width="3.7109375" style="171" customWidth="1"/>
    <col min="2568" max="2568" width="12" style="171" bestFit="1" customWidth="1"/>
    <col min="2569" max="2569" width="7.7109375" style="171" bestFit="1" customWidth="1"/>
    <col min="2570" max="2573" width="3.7109375" style="171" customWidth="1"/>
    <col min="2574" max="2574" width="12" style="171" bestFit="1" customWidth="1"/>
    <col min="2575" max="2575" width="7.7109375" style="171" bestFit="1" customWidth="1"/>
    <col min="2576" max="2579" width="3.7109375" style="171" customWidth="1"/>
    <col min="2580" max="2580" width="12" style="171" bestFit="1" customWidth="1"/>
    <col min="2581" max="2581" width="8.42578125" style="171" bestFit="1" customWidth="1"/>
    <col min="2582" max="2582" width="3.7109375" style="171" customWidth="1"/>
    <col min="2583" max="2583" width="8.42578125" style="171" bestFit="1" customWidth="1"/>
    <col min="2584" max="2584" width="7.7109375" style="171" bestFit="1" customWidth="1"/>
    <col min="2585" max="2585" width="13.5703125" style="171" bestFit="1" customWidth="1"/>
    <col min="2586" max="2816" width="3.7109375" style="171" customWidth="1"/>
    <col min="2817" max="2817" width="23" style="171" bestFit="1" customWidth="1"/>
    <col min="2818" max="2823" width="3.7109375" style="171" customWidth="1"/>
    <col min="2824" max="2824" width="12" style="171" bestFit="1" customWidth="1"/>
    <col min="2825" max="2825" width="7.7109375" style="171" bestFit="1" customWidth="1"/>
    <col min="2826" max="2829" width="3.7109375" style="171" customWidth="1"/>
    <col min="2830" max="2830" width="12" style="171" bestFit="1" customWidth="1"/>
    <col min="2831" max="2831" width="7.7109375" style="171" bestFit="1" customWidth="1"/>
    <col min="2832" max="2835" width="3.7109375" style="171" customWidth="1"/>
    <col min="2836" max="2836" width="12" style="171" bestFit="1" customWidth="1"/>
    <col min="2837" max="2837" width="8.42578125" style="171" bestFit="1" customWidth="1"/>
    <col min="2838" max="2838" width="3.7109375" style="171" customWidth="1"/>
    <col min="2839" max="2839" width="8.42578125" style="171" bestFit="1" customWidth="1"/>
    <col min="2840" max="2840" width="7.7109375" style="171" bestFit="1" customWidth="1"/>
    <col min="2841" max="2841" width="13.5703125" style="171" bestFit="1" customWidth="1"/>
    <col min="2842" max="3072" width="3.7109375" style="171" customWidth="1"/>
    <col min="3073" max="3073" width="23" style="171" bestFit="1" customWidth="1"/>
    <col min="3074" max="3079" width="3.7109375" style="171" customWidth="1"/>
    <col min="3080" max="3080" width="12" style="171" bestFit="1" customWidth="1"/>
    <col min="3081" max="3081" width="7.7109375" style="171" bestFit="1" customWidth="1"/>
    <col min="3082" max="3085" width="3.7109375" style="171" customWidth="1"/>
    <col min="3086" max="3086" width="12" style="171" bestFit="1" customWidth="1"/>
    <col min="3087" max="3087" width="7.7109375" style="171" bestFit="1" customWidth="1"/>
    <col min="3088" max="3091" width="3.7109375" style="171" customWidth="1"/>
    <col min="3092" max="3092" width="12" style="171" bestFit="1" customWidth="1"/>
    <col min="3093" max="3093" width="8.42578125" style="171" bestFit="1" customWidth="1"/>
    <col min="3094" max="3094" width="3.7109375" style="171" customWidth="1"/>
    <col min="3095" max="3095" width="8.42578125" style="171" bestFit="1" customWidth="1"/>
    <col min="3096" max="3096" width="7.7109375" style="171" bestFit="1" customWidth="1"/>
    <col min="3097" max="3097" width="13.5703125" style="171" bestFit="1" customWidth="1"/>
    <col min="3098" max="3328" width="3.7109375" style="171" customWidth="1"/>
    <col min="3329" max="3329" width="23" style="171" bestFit="1" customWidth="1"/>
    <col min="3330" max="3335" width="3.7109375" style="171" customWidth="1"/>
    <col min="3336" max="3336" width="12" style="171" bestFit="1" customWidth="1"/>
    <col min="3337" max="3337" width="7.7109375" style="171" bestFit="1" customWidth="1"/>
    <col min="3338" max="3341" width="3.7109375" style="171" customWidth="1"/>
    <col min="3342" max="3342" width="12" style="171" bestFit="1" customWidth="1"/>
    <col min="3343" max="3343" width="7.7109375" style="171" bestFit="1" customWidth="1"/>
    <col min="3344" max="3347" width="3.7109375" style="171" customWidth="1"/>
    <col min="3348" max="3348" width="12" style="171" bestFit="1" customWidth="1"/>
    <col min="3349" max="3349" width="8.42578125" style="171" bestFit="1" customWidth="1"/>
    <col min="3350" max="3350" width="3.7109375" style="171" customWidth="1"/>
    <col min="3351" max="3351" width="8.42578125" style="171" bestFit="1" customWidth="1"/>
    <col min="3352" max="3352" width="7.7109375" style="171" bestFit="1" customWidth="1"/>
    <col min="3353" max="3353" width="13.5703125" style="171" bestFit="1" customWidth="1"/>
    <col min="3354" max="3584" width="3.7109375" style="171" customWidth="1"/>
    <col min="3585" max="3585" width="23" style="171" bestFit="1" customWidth="1"/>
    <col min="3586" max="3591" width="3.7109375" style="171" customWidth="1"/>
    <col min="3592" max="3592" width="12" style="171" bestFit="1" customWidth="1"/>
    <col min="3593" max="3593" width="7.7109375" style="171" bestFit="1" customWidth="1"/>
    <col min="3594" max="3597" width="3.7109375" style="171" customWidth="1"/>
    <col min="3598" max="3598" width="12" style="171" bestFit="1" customWidth="1"/>
    <col min="3599" max="3599" width="7.7109375" style="171" bestFit="1" customWidth="1"/>
    <col min="3600" max="3603" width="3.7109375" style="171" customWidth="1"/>
    <col min="3604" max="3604" width="12" style="171" bestFit="1" customWidth="1"/>
    <col min="3605" max="3605" width="8.42578125" style="171" bestFit="1" customWidth="1"/>
    <col min="3606" max="3606" width="3.7109375" style="171" customWidth="1"/>
    <col min="3607" max="3607" width="8.42578125" style="171" bestFit="1" customWidth="1"/>
    <col min="3608" max="3608" width="7.7109375" style="171" bestFit="1" customWidth="1"/>
    <col min="3609" max="3609" width="13.5703125" style="171" bestFit="1" customWidth="1"/>
    <col min="3610" max="3840" width="3.7109375" style="171" customWidth="1"/>
    <col min="3841" max="3841" width="23" style="171" bestFit="1" customWidth="1"/>
    <col min="3842" max="3847" width="3.7109375" style="171" customWidth="1"/>
    <col min="3848" max="3848" width="12" style="171" bestFit="1" customWidth="1"/>
    <col min="3849" max="3849" width="7.7109375" style="171" bestFit="1" customWidth="1"/>
    <col min="3850" max="3853" width="3.7109375" style="171" customWidth="1"/>
    <col min="3854" max="3854" width="12" style="171" bestFit="1" customWidth="1"/>
    <col min="3855" max="3855" width="7.7109375" style="171" bestFit="1" customWidth="1"/>
    <col min="3856" max="3859" width="3.7109375" style="171" customWidth="1"/>
    <col min="3860" max="3860" width="12" style="171" bestFit="1" customWidth="1"/>
    <col min="3861" max="3861" width="8.42578125" style="171" bestFit="1" customWidth="1"/>
    <col min="3862" max="3862" width="3.7109375" style="171" customWidth="1"/>
    <col min="3863" max="3863" width="8.42578125" style="171" bestFit="1" customWidth="1"/>
    <col min="3864" max="3864" width="7.7109375" style="171" bestFit="1" customWidth="1"/>
    <col min="3865" max="3865" width="13.5703125" style="171" bestFit="1" customWidth="1"/>
    <col min="3866" max="4096" width="3.7109375" style="171" customWidth="1"/>
    <col min="4097" max="4097" width="23" style="171" bestFit="1" customWidth="1"/>
    <col min="4098" max="4103" width="3.7109375" style="171" customWidth="1"/>
    <col min="4104" max="4104" width="12" style="171" bestFit="1" customWidth="1"/>
    <col min="4105" max="4105" width="7.7109375" style="171" bestFit="1" customWidth="1"/>
    <col min="4106" max="4109" width="3.7109375" style="171" customWidth="1"/>
    <col min="4110" max="4110" width="12" style="171" bestFit="1" customWidth="1"/>
    <col min="4111" max="4111" width="7.7109375" style="171" bestFit="1" customWidth="1"/>
    <col min="4112" max="4115" width="3.7109375" style="171" customWidth="1"/>
    <col min="4116" max="4116" width="12" style="171" bestFit="1" customWidth="1"/>
    <col min="4117" max="4117" width="8.42578125" style="171" bestFit="1" customWidth="1"/>
    <col min="4118" max="4118" width="3.7109375" style="171" customWidth="1"/>
    <col min="4119" max="4119" width="8.42578125" style="171" bestFit="1" customWidth="1"/>
    <col min="4120" max="4120" width="7.7109375" style="171" bestFit="1" customWidth="1"/>
    <col min="4121" max="4121" width="13.5703125" style="171" bestFit="1" customWidth="1"/>
    <col min="4122" max="4352" width="3.7109375" style="171" customWidth="1"/>
    <col min="4353" max="4353" width="23" style="171" bestFit="1" customWidth="1"/>
    <col min="4354" max="4359" width="3.7109375" style="171" customWidth="1"/>
    <col min="4360" max="4360" width="12" style="171" bestFit="1" customWidth="1"/>
    <col min="4361" max="4361" width="7.7109375" style="171" bestFit="1" customWidth="1"/>
    <col min="4362" max="4365" width="3.7109375" style="171" customWidth="1"/>
    <col min="4366" max="4366" width="12" style="171" bestFit="1" customWidth="1"/>
    <col min="4367" max="4367" width="7.7109375" style="171" bestFit="1" customWidth="1"/>
    <col min="4368" max="4371" width="3.7109375" style="171" customWidth="1"/>
    <col min="4372" max="4372" width="12" style="171" bestFit="1" customWidth="1"/>
    <col min="4373" max="4373" width="8.42578125" style="171" bestFit="1" customWidth="1"/>
    <col min="4374" max="4374" width="3.7109375" style="171" customWidth="1"/>
    <col min="4375" max="4375" width="8.42578125" style="171" bestFit="1" customWidth="1"/>
    <col min="4376" max="4376" width="7.7109375" style="171" bestFit="1" customWidth="1"/>
    <col min="4377" max="4377" width="13.5703125" style="171" bestFit="1" customWidth="1"/>
    <col min="4378" max="4608" width="3.7109375" style="171" customWidth="1"/>
    <col min="4609" max="4609" width="23" style="171" bestFit="1" customWidth="1"/>
    <col min="4610" max="4615" width="3.7109375" style="171" customWidth="1"/>
    <col min="4616" max="4616" width="12" style="171" bestFit="1" customWidth="1"/>
    <col min="4617" max="4617" width="7.7109375" style="171" bestFit="1" customWidth="1"/>
    <col min="4618" max="4621" width="3.7109375" style="171" customWidth="1"/>
    <col min="4622" max="4622" width="12" style="171" bestFit="1" customWidth="1"/>
    <col min="4623" max="4623" width="7.7109375" style="171" bestFit="1" customWidth="1"/>
    <col min="4624" max="4627" width="3.7109375" style="171" customWidth="1"/>
    <col min="4628" max="4628" width="12" style="171" bestFit="1" customWidth="1"/>
    <col min="4629" max="4629" width="8.42578125" style="171" bestFit="1" customWidth="1"/>
    <col min="4630" max="4630" width="3.7109375" style="171" customWidth="1"/>
    <col min="4631" max="4631" width="8.42578125" style="171" bestFit="1" customWidth="1"/>
    <col min="4632" max="4632" width="7.7109375" style="171" bestFit="1" customWidth="1"/>
    <col min="4633" max="4633" width="13.5703125" style="171" bestFit="1" customWidth="1"/>
    <col min="4634" max="4864" width="3.7109375" style="171" customWidth="1"/>
    <col min="4865" max="4865" width="23" style="171" bestFit="1" customWidth="1"/>
    <col min="4866" max="4871" width="3.7109375" style="171" customWidth="1"/>
    <col min="4872" max="4872" width="12" style="171" bestFit="1" customWidth="1"/>
    <col min="4873" max="4873" width="7.7109375" style="171" bestFit="1" customWidth="1"/>
    <col min="4874" max="4877" width="3.7109375" style="171" customWidth="1"/>
    <col min="4878" max="4878" width="12" style="171" bestFit="1" customWidth="1"/>
    <col min="4879" max="4879" width="7.7109375" style="171" bestFit="1" customWidth="1"/>
    <col min="4880" max="4883" width="3.7109375" style="171" customWidth="1"/>
    <col min="4884" max="4884" width="12" style="171" bestFit="1" customWidth="1"/>
    <col min="4885" max="4885" width="8.42578125" style="171" bestFit="1" customWidth="1"/>
    <col min="4886" max="4886" width="3.7109375" style="171" customWidth="1"/>
    <col min="4887" max="4887" width="8.42578125" style="171" bestFit="1" customWidth="1"/>
    <col min="4888" max="4888" width="7.7109375" style="171" bestFit="1" customWidth="1"/>
    <col min="4889" max="4889" width="13.5703125" style="171" bestFit="1" customWidth="1"/>
    <col min="4890" max="5120" width="3.7109375" style="171" customWidth="1"/>
    <col min="5121" max="5121" width="23" style="171" bestFit="1" customWidth="1"/>
    <col min="5122" max="5127" width="3.7109375" style="171" customWidth="1"/>
    <col min="5128" max="5128" width="12" style="171" bestFit="1" customWidth="1"/>
    <col min="5129" max="5129" width="7.7109375" style="171" bestFit="1" customWidth="1"/>
    <col min="5130" max="5133" width="3.7109375" style="171" customWidth="1"/>
    <col min="5134" max="5134" width="12" style="171" bestFit="1" customWidth="1"/>
    <col min="5135" max="5135" width="7.7109375" style="171" bestFit="1" customWidth="1"/>
    <col min="5136" max="5139" width="3.7109375" style="171" customWidth="1"/>
    <col min="5140" max="5140" width="12" style="171" bestFit="1" customWidth="1"/>
    <col min="5141" max="5141" width="8.42578125" style="171" bestFit="1" customWidth="1"/>
    <col min="5142" max="5142" width="3.7109375" style="171" customWidth="1"/>
    <col min="5143" max="5143" width="8.42578125" style="171" bestFit="1" customWidth="1"/>
    <col min="5144" max="5144" width="7.7109375" style="171" bestFit="1" customWidth="1"/>
    <col min="5145" max="5145" width="13.5703125" style="171" bestFit="1" customWidth="1"/>
    <col min="5146" max="5376" width="3.7109375" style="171" customWidth="1"/>
    <col min="5377" max="5377" width="23" style="171" bestFit="1" customWidth="1"/>
    <col min="5378" max="5383" width="3.7109375" style="171" customWidth="1"/>
    <col min="5384" max="5384" width="12" style="171" bestFit="1" customWidth="1"/>
    <col min="5385" max="5385" width="7.7109375" style="171" bestFit="1" customWidth="1"/>
    <col min="5386" max="5389" width="3.7109375" style="171" customWidth="1"/>
    <col min="5390" max="5390" width="12" style="171" bestFit="1" customWidth="1"/>
    <col min="5391" max="5391" width="7.7109375" style="171" bestFit="1" customWidth="1"/>
    <col min="5392" max="5395" width="3.7109375" style="171" customWidth="1"/>
    <col min="5396" max="5396" width="12" style="171" bestFit="1" customWidth="1"/>
    <col min="5397" max="5397" width="8.42578125" style="171" bestFit="1" customWidth="1"/>
    <col min="5398" max="5398" width="3.7109375" style="171" customWidth="1"/>
    <col min="5399" max="5399" width="8.42578125" style="171" bestFit="1" customWidth="1"/>
    <col min="5400" max="5400" width="7.7109375" style="171" bestFit="1" customWidth="1"/>
    <col min="5401" max="5401" width="13.5703125" style="171" bestFit="1" customWidth="1"/>
    <col min="5402" max="5632" width="3.7109375" style="171" customWidth="1"/>
    <col min="5633" max="5633" width="23" style="171" bestFit="1" customWidth="1"/>
    <col min="5634" max="5639" width="3.7109375" style="171" customWidth="1"/>
    <col min="5640" max="5640" width="12" style="171" bestFit="1" customWidth="1"/>
    <col min="5641" max="5641" width="7.7109375" style="171" bestFit="1" customWidth="1"/>
    <col min="5642" max="5645" width="3.7109375" style="171" customWidth="1"/>
    <col min="5646" max="5646" width="12" style="171" bestFit="1" customWidth="1"/>
    <col min="5647" max="5647" width="7.7109375" style="171" bestFit="1" customWidth="1"/>
    <col min="5648" max="5651" width="3.7109375" style="171" customWidth="1"/>
    <col min="5652" max="5652" width="12" style="171" bestFit="1" customWidth="1"/>
    <col min="5653" max="5653" width="8.42578125" style="171" bestFit="1" customWidth="1"/>
    <col min="5654" max="5654" width="3.7109375" style="171" customWidth="1"/>
    <col min="5655" max="5655" width="8.42578125" style="171" bestFit="1" customWidth="1"/>
    <col min="5656" max="5656" width="7.7109375" style="171" bestFit="1" customWidth="1"/>
    <col min="5657" max="5657" width="13.5703125" style="171" bestFit="1" customWidth="1"/>
    <col min="5658" max="5888" width="3.7109375" style="171" customWidth="1"/>
    <col min="5889" max="5889" width="23" style="171" bestFit="1" customWidth="1"/>
    <col min="5890" max="5895" width="3.7109375" style="171" customWidth="1"/>
    <col min="5896" max="5896" width="12" style="171" bestFit="1" customWidth="1"/>
    <col min="5897" max="5897" width="7.7109375" style="171" bestFit="1" customWidth="1"/>
    <col min="5898" max="5901" width="3.7109375" style="171" customWidth="1"/>
    <col min="5902" max="5902" width="12" style="171" bestFit="1" customWidth="1"/>
    <col min="5903" max="5903" width="7.7109375" style="171" bestFit="1" customWidth="1"/>
    <col min="5904" max="5907" width="3.7109375" style="171" customWidth="1"/>
    <col min="5908" max="5908" width="12" style="171" bestFit="1" customWidth="1"/>
    <col min="5909" max="5909" width="8.42578125" style="171" bestFit="1" customWidth="1"/>
    <col min="5910" max="5910" width="3.7109375" style="171" customWidth="1"/>
    <col min="5911" max="5911" width="8.42578125" style="171" bestFit="1" customWidth="1"/>
    <col min="5912" max="5912" width="7.7109375" style="171" bestFit="1" customWidth="1"/>
    <col min="5913" max="5913" width="13.5703125" style="171" bestFit="1" customWidth="1"/>
    <col min="5914" max="6144" width="3.7109375" style="171" customWidth="1"/>
    <col min="6145" max="6145" width="23" style="171" bestFit="1" customWidth="1"/>
    <col min="6146" max="6151" width="3.7109375" style="171" customWidth="1"/>
    <col min="6152" max="6152" width="12" style="171" bestFit="1" customWidth="1"/>
    <col min="6153" max="6153" width="7.7109375" style="171" bestFit="1" customWidth="1"/>
    <col min="6154" max="6157" width="3.7109375" style="171" customWidth="1"/>
    <col min="6158" max="6158" width="12" style="171" bestFit="1" customWidth="1"/>
    <col min="6159" max="6159" width="7.7109375" style="171" bestFit="1" customWidth="1"/>
    <col min="6160" max="6163" width="3.7109375" style="171" customWidth="1"/>
    <col min="6164" max="6164" width="12" style="171" bestFit="1" customWidth="1"/>
    <col min="6165" max="6165" width="8.42578125" style="171" bestFit="1" customWidth="1"/>
    <col min="6166" max="6166" width="3.7109375" style="171" customWidth="1"/>
    <col min="6167" max="6167" width="8.42578125" style="171" bestFit="1" customWidth="1"/>
    <col min="6168" max="6168" width="7.7109375" style="171" bestFit="1" customWidth="1"/>
    <col min="6169" max="6169" width="13.5703125" style="171" bestFit="1" customWidth="1"/>
    <col min="6170" max="6400" width="3.7109375" style="171" customWidth="1"/>
    <col min="6401" max="6401" width="23" style="171" bestFit="1" customWidth="1"/>
    <col min="6402" max="6407" width="3.7109375" style="171" customWidth="1"/>
    <col min="6408" max="6408" width="12" style="171" bestFit="1" customWidth="1"/>
    <col min="6409" max="6409" width="7.7109375" style="171" bestFit="1" customWidth="1"/>
    <col min="6410" max="6413" width="3.7109375" style="171" customWidth="1"/>
    <col min="6414" max="6414" width="12" style="171" bestFit="1" customWidth="1"/>
    <col min="6415" max="6415" width="7.7109375" style="171" bestFit="1" customWidth="1"/>
    <col min="6416" max="6419" width="3.7109375" style="171" customWidth="1"/>
    <col min="6420" max="6420" width="12" style="171" bestFit="1" customWidth="1"/>
    <col min="6421" max="6421" width="8.42578125" style="171" bestFit="1" customWidth="1"/>
    <col min="6422" max="6422" width="3.7109375" style="171" customWidth="1"/>
    <col min="6423" max="6423" width="8.42578125" style="171" bestFit="1" customWidth="1"/>
    <col min="6424" max="6424" width="7.7109375" style="171" bestFit="1" customWidth="1"/>
    <col min="6425" max="6425" width="13.5703125" style="171" bestFit="1" customWidth="1"/>
    <col min="6426" max="6656" width="3.7109375" style="171" customWidth="1"/>
    <col min="6657" max="6657" width="23" style="171" bestFit="1" customWidth="1"/>
    <col min="6658" max="6663" width="3.7109375" style="171" customWidth="1"/>
    <col min="6664" max="6664" width="12" style="171" bestFit="1" customWidth="1"/>
    <col min="6665" max="6665" width="7.7109375" style="171" bestFit="1" customWidth="1"/>
    <col min="6666" max="6669" width="3.7109375" style="171" customWidth="1"/>
    <col min="6670" max="6670" width="12" style="171" bestFit="1" customWidth="1"/>
    <col min="6671" max="6671" width="7.7109375" style="171" bestFit="1" customWidth="1"/>
    <col min="6672" max="6675" width="3.7109375" style="171" customWidth="1"/>
    <col min="6676" max="6676" width="12" style="171" bestFit="1" customWidth="1"/>
    <col min="6677" max="6677" width="8.42578125" style="171" bestFit="1" customWidth="1"/>
    <col min="6678" max="6678" width="3.7109375" style="171" customWidth="1"/>
    <col min="6679" max="6679" width="8.42578125" style="171" bestFit="1" customWidth="1"/>
    <col min="6680" max="6680" width="7.7109375" style="171" bestFit="1" customWidth="1"/>
    <col min="6681" max="6681" width="13.5703125" style="171" bestFit="1" customWidth="1"/>
    <col min="6682" max="6912" width="3.7109375" style="171" customWidth="1"/>
    <col min="6913" max="6913" width="23" style="171" bestFit="1" customWidth="1"/>
    <col min="6914" max="6919" width="3.7109375" style="171" customWidth="1"/>
    <col min="6920" max="6920" width="12" style="171" bestFit="1" customWidth="1"/>
    <col min="6921" max="6921" width="7.7109375" style="171" bestFit="1" customWidth="1"/>
    <col min="6922" max="6925" width="3.7109375" style="171" customWidth="1"/>
    <col min="6926" max="6926" width="12" style="171" bestFit="1" customWidth="1"/>
    <col min="6927" max="6927" width="7.7109375" style="171" bestFit="1" customWidth="1"/>
    <col min="6928" max="6931" width="3.7109375" style="171" customWidth="1"/>
    <col min="6932" max="6932" width="12" style="171" bestFit="1" customWidth="1"/>
    <col min="6933" max="6933" width="8.42578125" style="171" bestFit="1" customWidth="1"/>
    <col min="6934" max="6934" width="3.7109375" style="171" customWidth="1"/>
    <col min="6935" max="6935" width="8.42578125" style="171" bestFit="1" customWidth="1"/>
    <col min="6936" max="6936" width="7.7109375" style="171" bestFit="1" customWidth="1"/>
    <col min="6937" max="6937" width="13.5703125" style="171" bestFit="1" customWidth="1"/>
    <col min="6938" max="7168" width="3.7109375" style="171" customWidth="1"/>
    <col min="7169" max="7169" width="23" style="171" bestFit="1" customWidth="1"/>
    <col min="7170" max="7175" width="3.7109375" style="171" customWidth="1"/>
    <col min="7176" max="7176" width="12" style="171" bestFit="1" customWidth="1"/>
    <col min="7177" max="7177" width="7.7109375" style="171" bestFit="1" customWidth="1"/>
    <col min="7178" max="7181" width="3.7109375" style="171" customWidth="1"/>
    <col min="7182" max="7182" width="12" style="171" bestFit="1" customWidth="1"/>
    <col min="7183" max="7183" width="7.7109375" style="171" bestFit="1" customWidth="1"/>
    <col min="7184" max="7187" width="3.7109375" style="171" customWidth="1"/>
    <col min="7188" max="7188" width="12" style="171" bestFit="1" customWidth="1"/>
    <col min="7189" max="7189" width="8.42578125" style="171" bestFit="1" customWidth="1"/>
    <col min="7190" max="7190" width="3.7109375" style="171" customWidth="1"/>
    <col min="7191" max="7191" width="8.42578125" style="171" bestFit="1" customWidth="1"/>
    <col min="7192" max="7192" width="7.7109375" style="171" bestFit="1" customWidth="1"/>
    <col min="7193" max="7193" width="13.5703125" style="171" bestFit="1" customWidth="1"/>
    <col min="7194" max="7424" width="3.7109375" style="171" customWidth="1"/>
    <col min="7425" max="7425" width="23" style="171" bestFit="1" customWidth="1"/>
    <col min="7426" max="7431" width="3.7109375" style="171" customWidth="1"/>
    <col min="7432" max="7432" width="12" style="171" bestFit="1" customWidth="1"/>
    <col min="7433" max="7433" width="7.7109375" style="171" bestFit="1" customWidth="1"/>
    <col min="7434" max="7437" width="3.7109375" style="171" customWidth="1"/>
    <col min="7438" max="7438" width="12" style="171" bestFit="1" customWidth="1"/>
    <col min="7439" max="7439" width="7.7109375" style="171" bestFit="1" customWidth="1"/>
    <col min="7440" max="7443" width="3.7109375" style="171" customWidth="1"/>
    <col min="7444" max="7444" width="12" style="171" bestFit="1" customWidth="1"/>
    <col min="7445" max="7445" width="8.42578125" style="171" bestFit="1" customWidth="1"/>
    <col min="7446" max="7446" width="3.7109375" style="171" customWidth="1"/>
    <col min="7447" max="7447" width="8.42578125" style="171" bestFit="1" customWidth="1"/>
    <col min="7448" max="7448" width="7.7109375" style="171" bestFit="1" customWidth="1"/>
    <col min="7449" max="7449" width="13.5703125" style="171" bestFit="1" customWidth="1"/>
    <col min="7450" max="7680" width="3.7109375" style="171" customWidth="1"/>
    <col min="7681" max="7681" width="23" style="171" bestFit="1" customWidth="1"/>
    <col min="7682" max="7687" width="3.7109375" style="171" customWidth="1"/>
    <col min="7688" max="7688" width="12" style="171" bestFit="1" customWidth="1"/>
    <col min="7689" max="7689" width="7.7109375" style="171" bestFit="1" customWidth="1"/>
    <col min="7690" max="7693" width="3.7109375" style="171" customWidth="1"/>
    <col min="7694" max="7694" width="12" style="171" bestFit="1" customWidth="1"/>
    <col min="7695" max="7695" width="7.7109375" style="171" bestFit="1" customWidth="1"/>
    <col min="7696" max="7699" width="3.7109375" style="171" customWidth="1"/>
    <col min="7700" max="7700" width="12" style="171" bestFit="1" customWidth="1"/>
    <col min="7701" max="7701" width="8.42578125" style="171" bestFit="1" customWidth="1"/>
    <col min="7702" max="7702" width="3.7109375" style="171" customWidth="1"/>
    <col min="7703" max="7703" width="8.42578125" style="171" bestFit="1" customWidth="1"/>
    <col min="7704" max="7704" width="7.7109375" style="171" bestFit="1" customWidth="1"/>
    <col min="7705" max="7705" width="13.5703125" style="171" bestFit="1" customWidth="1"/>
    <col min="7706" max="7936" width="3.7109375" style="171" customWidth="1"/>
    <col min="7937" max="7937" width="23" style="171" bestFit="1" customWidth="1"/>
    <col min="7938" max="7943" width="3.7109375" style="171" customWidth="1"/>
    <col min="7944" max="7944" width="12" style="171" bestFit="1" customWidth="1"/>
    <col min="7945" max="7945" width="7.7109375" style="171" bestFit="1" customWidth="1"/>
    <col min="7946" max="7949" width="3.7109375" style="171" customWidth="1"/>
    <col min="7950" max="7950" width="12" style="171" bestFit="1" customWidth="1"/>
    <col min="7951" max="7951" width="7.7109375" style="171" bestFit="1" customWidth="1"/>
    <col min="7952" max="7955" width="3.7109375" style="171" customWidth="1"/>
    <col min="7956" max="7956" width="12" style="171" bestFit="1" customWidth="1"/>
    <col min="7957" max="7957" width="8.42578125" style="171" bestFit="1" customWidth="1"/>
    <col min="7958" max="7958" width="3.7109375" style="171" customWidth="1"/>
    <col min="7959" max="7959" width="8.42578125" style="171" bestFit="1" customWidth="1"/>
    <col min="7960" max="7960" width="7.7109375" style="171" bestFit="1" customWidth="1"/>
    <col min="7961" max="7961" width="13.5703125" style="171" bestFit="1" customWidth="1"/>
    <col min="7962" max="8192" width="3.7109375" style="171" customWidth="1"/>
    <col min="8193" max="8193" width="23" style="171" bestFit="1" customWidth="1"/>
    <col min="8194" max="8199" width="3.7109375" style="171" customWidth="1"/>
    <col min="8200" max="8200" width="12" style="171" bestFit="1" customWidth="1"/>
    <col min="8201" max="8201" width="7.7109375" style="171" bestFit="1" customWidth="1"/>
    <col min="8202" max="8205" width="3.7109375" style="171" customWidth="1"/>
    <col min="8206" max="8206" width="12" style="171" bestFit="1" customWidth="1"/>
    <col min="8207" max="8207" width="7.7109375" style="171" bestFit="1" customWidth="1"/>
    <col min="8208" max="8211" width="3.7109375" style="171" customWidth="1"/>
    <col min="8212" max="8212" width="12" style="171" bestFit="1" customWidth="1"/>
    <col min="8213" max="8213" width="8.42578125" style="171" bestFit="1" customWidth="1"/>
    <col min="8214" max="8214" width="3.7109375" style="171" customWidth="1"/>
    <col min="8215" max="8215" width="8.42578125" style="171" bestFit="1" customWidth="1"/>
    <col min="8216" max="8216" width="7.7109375" style="171" bestFit="1" customWidth="1"/>
    <col min="8217" max="8217" width="13.5703125" style="171" bestFit="1" customWidth="1"/>
    <col min="8218" max="8448" width="3.7109375" style="171" customWidth="1"/>
    <col min="8449" max="8449" width="23" style="171" bestFit="1" customWidth="1"/>
    <col min="8450" max="8455" width="3.7109375" style="171" customWidth="1"/>
    <col min="8456" max="8456" width="12" style="171" bestFit="1" customWidth="1"/>
    <col min="8457" max="8457" width="7.7109375" style="171" bestFit="1" customWidth="1"/>
    <col min="8458" max="8461" width="3.7109375" style="171" customWidth="1"/>
    <col min="8462" max="8462" width="12" style="171" bestFit="1" customWidth="1"/>
    <col min="8463" max="8463" width="7.7109375" style="171" bestFit="1" customWidth="1"/>
    <col min="8464" max="8467" width="3.7109375" style="171" customWidth="1"/>
    <col min="8468" max="8468" width="12" style="171" bestFit="1" customWidth="1"/>
    <col min="8469" max="8469" width="8.42578125" style="171" bestFit="1" customWidth="1"/>
    <col min="8470" max="8470" width="3.7109375" style="171" customWidth="1"/>
    <col min="8471" max="8471" width="8.42578125" style="171" bestFit="1" customWidth="1"/>
    <col min="8472" max="8472" width="7.7109375" style="171" bestFit="1" customWidth="1"/>
    <col min="8473" max="8473" width="13.5703125" style="171" bestFit="1" customWidth="1"/>
    <col min="8474" max="8704" width="3.7109375" style="171" customWidth="1"/>
    <col min="8705" max="8705" width="23" style="171" bestFit="1" customWidth="1"/>
    <col min="8706" max="8711" width="3.7109375" style="171" customWidth="1"/>
    <col min="8712" max="8712" width="12" style="171" bestFit="1" customWidth="1"/>
    <col min="8713" max="8713" width="7.7109375" style="171" bestFit="1" customWidth="1"/>
    <col min="8714" max="8717" width="3.7109375" style="171" customWidth="1"/>
    <col min="8718" max="8718" width="12" style="171" bestFit="1" customWidth="1"/>
    <col min="8719" max="8719" width="7.7109375" style="171" bestFit="1" customWidth="1"/>
    <col min="8720" max="8723" width="3.7109375" style="171" customWidth="1"/>
    <col min="8724" max="8724" width="12" style="171" bestFit="1" customWidth="1"/>
    <col min="8725" max="8725" width="8.42578125" style="171" bestFit="1" customWidth="1"/>
    <col min="8726" max="8726" width="3.7109375" style="171" customWidth="1"/>
    <col min="8727" max="8727" width="8.42578125" style="171" bestFit="1" customWidth="1"/>
    <col min="8728" max="8728" width="7.7109375" style="171" bestFit="1" customWidth="1"/>
    <col min="8729" max="8729" width="13.5703125" style="171" bestFit="1" customWidth="1"/>
    <col min="8730" max="8960" width="3.7109375" style="171" customWidth="1"/>
    <col min="8961" max="8961" width="23" style="171" bestFit="1" customWidth="1"/>
    <col min="8962" max="8967" width="3.7109375" style="171" customWidth="1"/>
    <col min="8968" max="8968" width="12" style="171" bestFit="1" customWidth="1"/>
    <col min="8969" max="8969" width="7.7109375" style="171" bestFit="1" customWidth="1"/>
    <col min="8970" max="8973" width="3.7109375" style="171" customWidth="1"/>
    <col min="8974" max="8974" width="12" style="171" bestFit="1" customWidth="1"/>
    <col min="8975" max="8975" width="7.7109375" style="171" bestFit="1" customWidth="1"/>
    <col min="8976" max="8979" width="3.7109375" style="171" customWidth="1"/>
    <col min="8980" max="8980" width="12" style="171" bestFit="1" customWidth="1"/>
    <col min="8981" max="8981" width="8.42578125" style="171" bestFit="1" customWidth="1"/>
    <col min="8982" max="8982" width="3.7109375" style="171" customWidth="1"/>
    <col min="8983" max="8983" width="8.42578125" style="171" bestFit="1" customWidth="1"/>
    <col min="8984" max="8984" width="7.7109375" style="171" bestFit="1" customWidth="1"/>
    <col min="8985" max="8985" width="13.5703125" style="171" bestFit="1" customWidth="1"/>
    <col min="8986" max="9216" width="3.7109375" style="171" customWidth="1"/>
    <col min="9217" max="9217" width="23" style="171" bestFit="1" customWidth="1"/>
    <col min="9218" max="9223" width="3.7109375" style="171" customWidth="1"/>
    <col min="9224" max="9224" width="12" style="171" bestFit="1" customWidth="1"/>
    <col min="9225" max="9225" width="7.7109375" style="171" bestFit="1" customWidth="1"/>
    <col min="9226" max="9229" width="3.7109375" style="171" customWidth="1"/>
    <col min="9230" max="9230" width="12" style="171" bestFit="1" customWidth="1"/>
    <col min="9231" max="9231" width="7.7109375" style="171" bestFit="1" customWidth="1"/>
    <col min="9232" max="9235" width="3.7109375" style="171" customWidth="1"/>
    <col min="9236" max="9236" width="12" style="171" bestFit="1" customWidth="1"/>
    <col min="9237" max="9237" width="8.42578125" style="171" bestFit="1" customWidth="1"/>
    <col min="9238" max="9238" width="3.7109375" style="171" customWidth="1"/>
    <col min="9239" max="9239" width="8.42578125" style="171" bestFit="1" customWidth="1"/>
    <col min="9240" max="9240" width="7.7109375" style="171" bestFit="1" customWidth="1"/>
    <col min="9241" max="9241" width="13.5703125" style="171" bestFit="1" customWidth="1"/>
    <col min="9242" max="9472" width="3.7109375" style="171" customWidth="1"/>
    <col min="9473" max="9473" width="23" style="171" bestFit="1" customWidth="1"/>
    <col min="9474" max="9479" width="3.7109375" style="171" customWidth="1"/>
    <col min="9480" max="9480" width="12" style="171" bestFit="1" customWidth="1"/>
    <col min="9481" max="9481" width="7.7109375" style="171" bestFit="1" customWidth="1"/>
    <col min="9482" max="9485" width="3.7109375" style="171" customWidth="1"/>
    <col min="9486" max="9486" width="12" style="171" bestFit="1" customWidth="1"/>
    <col min="9487" max="9487" width="7.7109375" style="171" bestFit="1" customWidth="1"/>
    <col min="9488" max="9491" width="3.7109375" style="171" customWidth="1"/>
    <col min="9492" max="9492" width="12" style="171" bestFit="1" customWidth="1"/>
    <col min="9493" max="9493" width="8.42578125" style="171" bestFit="1" customWidth="1"/>
    <col min="9494" max="9494" width="3.7109375" style="171" customWidth="1"/>
    <col min="9495" max="9495" width="8.42578125" style="171" bestFit="1" customWidth="1"/>
    <col min="9496" max="9496" width="7.7109375" style="171" bestFit="1" customWidth="1"/>
    <col min="9497" max="9497" width="13.5703125" style="171" bestFit="1" customWidth="1"/>
    <col min="9498" max="9728" width="3.7109375" style="171" customWidth="1"/>
    <col min="9729" max="9729" width="23" style="171" bestFit="1" customWidth="1"/>
    <col min="9730" max="9735" width="3.7109375" style="171" customWidth="1"/>
    <col min="9736" max="9736" width="12" style="171" bestFit="1" customWidth="1"/>
    <col min="9737" max="9737" width="7.7109375" style="171" bestFit="1" customWidth="1"/>
    <col min="9738" max="9741" width="3.7109375" style="171" customWidth="1"/>
    <col min="9742" max="9742" width="12" style="171" bestFit="1" customWidth="1"/>
    <col min="9743" max="9743" width="7.7109375" style="171" bestFit="1" customWidth="1"/>
    <col min="9744" max="9747" width="3.7109375" style="171" customWidth="1"/>
    <col min="9748" max="9748" width="12" style="171" bestFit="1" customWidth="1"/>
    <col min="9749" max="9749" width="8.42578125" style="171" bestFit="1" customWidth="1"/>
    <col min="9750" max="9750" width="3.7109375" style="171" customWidth="1"/>
    <col min="9751" max="9751" width="8.42578125" style="171" bestFit="1" customWidth="1"/>
    <col min="9752" max="9752" width="7.7109375" style="171" bestFit="1" customWidth="1"/>
    <col min="9753" max="9753" width="13.5703125" style="171" bestFit="1" customWidth="1"/>
    <col min="9754" max="9984" width="3.7109375" style="171" customWidth="1"/>
    <col min="9985" max="9985" width="23" style="171" bestFit="1" customWidth="1"/>
    <col min="9986" max="9991" width="3.7109375" style="171" customWidth="1"/>
    <col min="9992" max="9992" width="12" style="171" bestFit="1" customWidth="1"/>
    <col min="9993" max="9993" width="7.7109375" style="171" bestFit="1" customWidth="1"/>
    <col min="9994" max="9997" width="3.7109375" style="171" customWidth="1"/>
    <col min="9998" max="9998" width="12" style="171" bestFit="1" customWidth="1"/>
    <col min="9999" max="9999" width="7.7109375" style="171" bestFit="1" customWidth="1"/>
    <col min="10000" max="10003" width="3.7109375" style="171" customWidth="1"/>
    <col min="10004" max="10004" width="12" style="171" bestFit="1" customWidth="1"/>
    <col min="10005" max="10005" width="8.42578125" style="171" bestFit="1" customWidth="1"/>
    <col min="10006" max="10006" width="3.7109375" style="171" customWidth="1"/>
    <col min="10007" max="10007" width="8.42578125" style="171" bestFit="1" customWidth="1"/>
    <col min="10008" max="10008" width="7.7109375" style="171" bestFit="1" customWidth="1"/>
    <col min="10009" max="10009" width="13.5703125" style="171" bestFit="1" customWidth="1"/>
    <col min="10010" max="10240" width="3.7109375" style="171" customWidth="1"/>
    <col min="10241" max="10241" width="23" style="171" bestFit="1" customWidth="1"/>
    <col min="10242" max="10247" width="3.7109375" style="171" customWidth="1"/>
    <col min="10248" max="10248" width="12" style="171" bestFit="1" customWidth="1"/>
    <col min="10249" max="10249" width="7.7109375" style="171" bestFit="1" customWidth="1"/>
    <col min="10250" max="10253" width="3.7109375" style="171" customWidth="1"/>
    <col min="10254" max="10254" width="12" style="171" bestFit="1" customWidth="1"/>
    <col min="10255" max="10255" width="7.7109375" style="171" bestFit="1" customWidth="1"/>
    <col min="10256" max="10259" width="3.7109375" style="171" customWidth="1"/>
    <col min="10260" max="10260" width="12" style="171" bestFit="1" customWidth="1"/>
    <col min="10261" max="10261" width="8.42578125" style="171" bestFit="1" customWidth="1"/>
    <col min="10262" max="10262" width="3.7109375" style="171" customWidth="1"/>
    <col min="10263" max="10263" width="8.42578125" style="171" bestFit="1" customWidth="1"/>
    <col min="10264" max="10264" width="7.7109375" style="171" bestFit="1" customWidth="1"/>
    <col min="10265" max="10265" width="13.5703125" style="171" bestFit="1" customWidth="1"/>
    <col min="10266" max="10496" width="3.7109375" style="171" customWidth="1"/>
    <col min="10497" max="10497" width="23" style="171" bestFit="1" customWidth="1"/>
    <col min="10498" max="10503" width="3.7109375" style="171" customWidth="1"/>
    <col min="10504" max="10504" width="12" style="171" bestFit="1" customWidth="1"/>
    <col min="10505" max="10505" width="7.7109375" style="171" bestFit="1" customWidth="1"/>
    <col min="10506" max="10509" width="3.7109375" style="171" customWidth="1"/>
    <col min="10510" max="10510" width="12" style="171" bestFit="1" customWidth="1"/>
    <col min="10511" max="10511" width="7.7109375" style="171" bestFit="1" customWidth="1"/>
    <col min="10512" max="10515" width="3.7109375" style="171" customWidth="1"/>
    <col min="10516" max="10516" width="12" style="171" bestFit="1" customWidth="1"/>
    <col min="10517" max="10517" width="8.42578125" style="171" bestFit="1" customWidth="1"/>
    <col min="10518" max="10518" width="3.7109375" style="171" customWidth="1"/>
    <col min="10519" max="10519" width="8.42578125" style="171" bestFit="1" customWidth="1"/>
    <col min="10520" max="10520" width="7.7109375" style="171" bestFit="1" customWidth="1"/>
    <col min="10521" max="10521" width="13.5703125" style="171" bestFit="1" customWidth="1"/>
    <col min="10522" max="10752" width="3.7109375" style="171" customWidth="1"/>
    <col min="10753" max="10753" width="23" style="171" bestFit="1" customWidth="1"/>
    <col min="10754" max="10759" width="3.7109375" style="171" customWidth="1"/>
    <col min="10760" max="10760" width="12" style="171" bestFit="1" customWidth="1"/>
    <col min="10761" max="10761" width="7.7109375" style="171" bestFit="1" customWidth="1"/>
    <col min="10762" max="10765" width="3.7109375" style="171" customWidth="1"/>
    <col min="10766" max="10766" width="12" style="171" bestFit="1" customWidth="1"/>
    <col min="10767" max="10767" width="7.7109375" style="171" bestFit="1" customWidth="1"/>
    <col min="10768" max="10771" width="3.7109375" style="171" customWidth="1"/>
    <col min="10772" max="10772" width="12" style="171" bestFit="1" customWidth="1"/>
    <col min="10773" max="10773" width="8.42578125" style="171" bestFit="1" customWidth="1"/>
    <col min="10774" max="10774" width="3.7109375" style="171" customWidth="1"/>
    <col min="10775" max="10775" width="8.42578125" style="171" bestFit="1" customWidth="1"/>
    <col min="10776" max="10776" width="7.7109375" style="171" bestFit="1" customWidth="1"/>
    <col min="10777" max="10777" width="13.5703125" style="171" bestFit="1" customWidth="1"/>
    <col min="10778" max="11008" width="3.7109375" style="171" customWidth="1"/>
    <col min="11009" max="11009" width="23" style="171" bestFit="1" customWidth="1"/>
    <col min="11010" max="11015" width="3.7109375" style="171" customWidth="1"/>
    <col min="11016" max="11016" width="12" style="171" bestFit="1" customWidth="1"/>
    <col min="11017" max="11017" width="7.7109375" style="171" bestFit="1" customWidth="1"/>
    <col min="11018" max="11021" width="3.7109375" style="171" customWidth="1"/>
    <col min="11022" max="11022" width="12" style="171" bestFit="1" customWidth="1"/>
    <col min="11023" max="11023" width="7.7109375" style="171" bestFit="1" customWidth="1"/>
    <col min="11024" max="11027" width="3.7109375" style="171" customWidth="1"/>
    <col min="11028" max="11028" width="12" style="171" bestFit="1" customWidth="1"/>
    <col min="11029" max="11029" width="8.42578125" style="171" bestFit="1" customWidth="1"/>
    <col min="11030" max="11030" width="3.7109375" style="171" customWidth="1"/>
    <col min="11031" max="11031" width="8.42578125" style="171" bestFit="1" customWidth="1"/>
    <col min="11032" max="11032" width="7.7109375" style="171" bestFit="1" customWidth="1"/>
    <col min="11033" max="11033" width="13.5703125" style="171" bestFit="1" customWidth="1"/>
    <col min="11034" max="11264" width="3.7109375" style="171" customWidth="1"/>
    <col min="11265" max="11265" width="23" style="171" bestFit="1" customWidth="1"/>
    <col min="11266" max="11271" width="3.7109375" style="171" customWidth="1"/>
    <col min="11272" max="11272" width="12" style="171" bestFit="1" customWidth="1"/>
    <col min="11273" max="11273" width="7.7109375" style="171" bestFit="1" customWidth="1"/>
    <col min="11274" max="11277" width="3.7109375" style="171" customWidth="1"/>
    <col min="11278" max="11278" width="12" style="171" bestFit="1" customWidth="1"/>
    <col min="11279" max="11279" width="7.7109375" style="171" bestFit="1" customWidth="1"/>
    <col min="11280" max="11283" width="3.7109375" style="171" customWidth="1"/>
    <col min="11284" max="11284" width="12" style="171" bestFit="1" customWidth="1"/>
    <col min="11285" max="11285" width="8.42578125" style="171" bestFit="1" customWidth="1"/>
    <col min="11286" max="11286" width="3.7109375" style="171" customWidth="1"/>
    <col min="11287" max="11287" width="8.42578125" style="171" bestFit="1" customWidth="1"/>
    <col min="11288" max="11288" width="7.7109375" style="171" bestFit="1" customWidth="1"/>
    <col min="11289" max="11289" width="13.5703125" style="171" bestFit="1" customWidth="1"/>
    <col min="11290" max="11520" width="3.7109375" style="171" customWidth="1"/>
    <col min="11521" max="11521" width="23" style="171" bestFit="1" customWidth="1"/>
    <col min="11522" max="11527" width="3.7109375" style="171" customWidth="1"/>
    <col min="11528" max="11528" width="12" style="171" bestFit="1" customWidth="1"/>
    <col min="11529" max="11529" width="7.7109375" style="171" bestFit="1" customWidth="1"/>
    <col min="11530" max="11533" width="3.7109375" style="171" customWidth="1"/>
    <col min="11534" max="11534" width="12" style="171" bestFit="1" customWidth="1"/>
    <col min="11535" max="11535" width="7.7109375" style="171" bestFit="1" customWidth="1"/>
    <col min="11536" max="11539" width="3.7109375" style="171" customWidth="1"/>
    <col min="11540" max="11540" width="12" style="171" bestFit="1" customWidth="1"/>
    <col min="11541" max="11541" width="8.42578125" style="171" bestFit="1" customWidth="1"/>
    <col min="11542" max="11542" width="3.7109375" style="171" customWidth="1"/>
    <col min="11543" max="11543" width="8.42578125" style="171" bestFit="1" customWidth="1"/>
    <col min="11544" max="11544" width="7.7109375" style="171" bestFit="1" customWidth="1"/>
    <col min="11545" max="11545" width="13.5703125" style="171" bestFit="1" customWidth="1"/>
    <col min="11546" max="11776" width="3.7109375" style="171" customWidth="1"/>
    <col min="11777" max="11777" width="23" style="171" bestFit="1" customWidth="1"/>
    <col min="11778" max="11783" width="3.7109375" style="171" customWidth="1"/>
    <col min="11784" max="11784" width="12" style="171" bestFit="1" customWidth="1"/>
    <col min="11785" max="11785" width="7.7109375" style="171" bestFit="1" customWidth="1"/>
    <col min="11786" max="11789" width="3.7109375" style="171" customWidth="1"/>
    <col min="11790" max="11790" width="12" style="171" bestFit="1" customWidth="1"/>
    <col min="11791" max="11791" width="7.7109375" style="171" bestFit="1" customWidth="1"/>
    <col min="11792" max="11795" width="3.7109375" style="171" customWidth="1"/>
    <col min="11796" max="11796" width="12" style="171" bestFit="1" customWidth="1"/>
    <col min="11797" max="11797" width="8.42578125" style="171" bestFit="1" customWidth="1"/>
    <col min="11798" max="11798" width="3.7109375" style="171" customWidth="1"/>
    <col min="11799" max="11799" width="8.42578125" style="171" bestFit="1" customWidth="1"/>
    <col min="11800" max="11800" width="7.7109375" style="171" bestFit="1" customWidth="1"/>
    <col min="11801" max="11801" width="13.5703125" style="171" bestFit="1" customWidth="1"/>
    <col min="11802" max="12032" width="3.7109375" style="171" customWidth="1"/>
    <col min="12033" max="12033" width="23" style="171" bestFit="1" customWidth="1"/>
    <col min="12034" max="12039" width="3.7109375" style="171" customWidth="1"/>
    <col min="12040" max="12040" width="12" style="171" bestFit="1" customWidth="1"/>
    <col min="12041" max="12041" width="7.7109375" style="171" bestFit="1" customWidth="1"/>
    <col min="12042" max="12045" width="3.7109375" style="171" customWidth="1"/>
    <col min="12046" max="12046" width="12" style="171" bestFit="1" customWidth="1"/>
    <col min="12047" max="12047" width="7.7109375" style="171" bestFit="1" customWidth="1"/>
    <col min="12048" max="12051" width="3.7109375" style="171" customWidth="1"/>
    <col min="12052" max="12052" width="12" style="171" bestFit="1" customWidth="1"/>
    <col min="12053" max="12053" width="8.42578125" style="171" bestFit="1" customWidth="1"/>
    <col min="12054" max="12054" width="3.7109375" style="171" customWidth="1"/>
    <col min="12055" max="12055" width="8.42578125" style="171" bestFit="1" customWidth="1"/>
    <col min="12056" max="12056" width="7.7109375" style="171" bestFit="1" customWidth="1"/>
    <col min="12057" max="12057" width="13.5703125" style="171" bestFit="1" customWidth="1"/>
    <col min="12058" max="12288" width="3.7109375" style="171" customWidth="1"/>
    <col min="12289" max="12289" width="23" style="171" bestFit="1" customWidth="1"/>
    <col min="12290" max="12295" width="3.7109375" style="171" customWidth="1"/>
    <col min="12296" max="12296" width="12" style="171" bestFit="1" customWidth="1"/>
    <col min="12297" max="12297" width="7.7109375" style="171" bestFit="1" customWidth="1"/>
    <col min="12298" max="12301" width="3.7109375" style="171" customWidth="1"/>
    <col min="12302" max="12302" width="12" style="171" bestFit="1" customWidth="1"/>
    <col min="12303" max="12303" width="7.7109375" style="171" bestFit="1" customWidth="1"/>
    <col min="12304" max="12307" width="3.7109375" style="171" customWidth="1"/>
    <col min="12308" max="12308" width="12" style="171" bestFit="1" customWidth="1"/>
    <col min="12309" max="12309" width="8.42578125" style="171" bestFit="1" customWidth="1"/>
    <col min="12310" max="12310" width="3.7109375" style="171" customWidth="1"/>
    <col min="12311" max="12311" width="8.42578125" style="171" bestFit="1" customWidth="1"/>
    <col min="12312" max="12312" width="7.7109375" style="171" bestFit="1" customWidth="1"/>
    <col min="12313" max="12313" width="13.5703125" style="171" bestFit="1" customWidth="1"/>
    <col min="12314" max="12544" width="3.7109375" style="171" customWidth="1"/>
    <col min="12545" max="12545" width="23" style="171" bestFit="1" customWidth="1"/>
    <col min="12546" max="12551" width="3.7109375" style="171" customWidth="1"/>
    <col min="12552" max="12552" width="12" style="171" bestFit="1" customWidth="1"/>
    <col min="12553" max="12553" width="7.7109375" style="171" bestFit="1" customWidth="1"/>
    <col min="12554" max="12557" width="3.7109375" style="171" customWidth="1"/>
    <col min="12558" max="12558" width="12" style="171" bestFit="1" customWidth="1"/>
    <col min="12559" max="12559" width="7.7109375" style="171" bestFit="1" customWidth="1"/>
    <col min="12560" max="12563" width="3.7109375" style="171" customWidth="1"/>
    <col min="12564" max="12564" width="12" style="171" bestFit="1" customWidth="1"/>
    <col min="12565" max="12565" width="8.42578125" style="171" bestFit="1" customWidth="1"/>
    <col min="12566" max="12566" width="3.7109375" style="171" customWidth="1"/>
    <col min="12567" max="12567" width="8.42578125" style="171" bestFit="1" customWidth="1"/>
    <col min="12568" max="12568" width="7.7109375" style="171" bestFit="1" customWidth="1"/>
    <col min="12569" max="12569" width="13.5703125" style="171" bestFit="1" customWidth="1"/>
    <col min="12570" max="12800" width="3.7109375" style="171" customWidth="1"/>
    <col min="12801" max="12801" width="23" style="171" bestFit="1" customWidth="1"/>
    <col min="12802" max="12807" width="3.7109375" style="171" customWidth="1"/>
    <col min="12808" max="12808" width="12" style="171" bestFit="1" customWidth="1"/>
    <col min="12809" max="12809" width="7.7109375" style="171" bestFit="1" customWidth="1"/>
    <col min="12810" max="12813" width="3.7109375" style="171" customWidth="1"/>
    <col min="12814" max="12814" width="12" style="171" bestFit="1" customWidth="1"/>
    <col min="12815" max="12815" width="7.7109375" style="171" bestFit="1" customWidth="1"/>
    <col min="12816" max="12819" width="3.7109375" style="171" customWidth="1"/>
    <col min="12820" max="12820" width="12" style="171" bestFit="1" customWidth="1"/>
    <col min="12821" max="12821" width="8.42578125" style="171" bestFit="1" customWidth="1"/>
    <col min="12822" max="12822" width="3.7109375" style="171" customWidth="1"/>
    <col min="12823" max="12823" width="8.42578125" style="171" bestFit="1" customWidth="1"/>
    <col min="12824" max="12824" width="7.7109375" style="171" bestFit="1" customWidth="1"/>
    <col min="12825" max="12825" width="13.5703125" style="171" bestFit="1" customWidth="1"/>
    <col min="12826" max="13056" width="3.7109375" style="171" customWidth="1"/>
    <col min="13057" max="13057" width="23" style="171" bestFit="1" customWidth="1"/>
    <col min="13058" max="13063" width="3.7109375" style="171" customWidth="1"/>
    <col min="13064" max="13064" width="12" style="171" bestFit="1" customWidth="1"/>
    <col min="13065" max="13065" width="7.7109375" style="171" bestFit="1" customWidth="1"/>
    <col min="13066" max="13069" width="3.7109375" style="171" customWidth="1"/>
    <col min="13070" max="13070" width="12" style="171" bestFit="1" customWidth="1"/>
    <col min="13071" max="13071" width="7.7109375" style="171" bestFit="1" customWidth="1"/>
    <col min="13072" max="13075" width="3.7109375" style="171" customWidth="1"/>
    <col min="13076" max="13076" width="12" style="171" bestFit="1" customWidth="1"/>
    <col min="13077" max="13077" width="8.42578125" style="171" bestFit="1" customWidth="1"/>
    <col min="13078" max="13078" width="3.7109375" style="171" customWidth="1"/>
    <col min="13079" max="13079" width="8.42578125" style="171" bestFit="1" customWidth="1"/>
    <col min="13080" max="13080" width="7.7109375" style="171" bestFit="1" customWidth="1"/>
    <col min="13081" max="13081" width="13.5703125" style="171" bestFit="1" customWidth="1"/>
    <col min="13082" max="13312" width="3.7109375" style="171" customWidth="1"/>
    <col min="13313" max="13313" width="23" style="171" bestFit="1" customWidth="1"/>
    <col min="13314" max="13319" width="3.7109375" style="171" customWidth="1"/>
    <col min="13320" max="13320" width="12" style="171" bestFit="1" customWidth="1"/>
    <col min="13321" max="13321" width="7.7109375" style="171" bestFit="1" customWidth="1"/>
    <col min="13322" max="13325" width="3.7109375" style="171" customWidth="1"/>
    <col min="13326" max="13326" width="12" style="171" bestFit="1" customWidth="1"/>
    <col min="13327" max="13327" width="7.7109375" style="171" bestFit="1" customWidth="1"/>
    <col min="13328" max="13331" width="3.7109375" style="171" customWidth="1"/>
    <col min="13332" max="13332" width="12" style="171" bestFit="1" customWidth="1"/>
    <col min="13333" max="13333" width="8.42578125" style="171" bestFit="1" customWidth="1"/>
    <col min="13334" max="13334" width="3.7109375" style="171" customWidth="1"/>
    <col min="13335" max="13335" width="8.42578125" style="171" bestFit="1" customWidth="1"/>
    <col min="13336" max="13336" width="7.7109375" style="171" bestFit="1" customWidth="1"/>
    <col min="13337" max="13337" width="13.5703125" style="171" bestFit="1" customWidth="1"/>
    <col min="13338" max="13568" width="3.7109375" style="171" customWidth="1"/>
    <col min="13569" max="13569" width="23" style="171" bestFit="1" customWidth="1"/>
    <col min="13570" max="13575" width="3.7109375" style="171" customWidth="1"/>
    <col min="13576" max="13576" width="12" style="171" bestFit="1" customWidth="1"/>
    <col min="13577" max="13577" width="7.7109375" style="171" bestFit="1" customWidth="1"/>
    <col min="13578" max="13581" width="3.7109375" style="171" customWidth="1"/>
    <col min="13582" max="13582" width="12" style="171" bestFit="1" customWidth="1"/>
    <col min="13583" max="13583" width="7.7109375" style="171" bestFit="1" customWidth="1"/>
    <col min="13584" max="13587" width="3.7109375" style="171" customWidth="1"/>
    <col min="13588" max="13588" width="12" style="171" bestFit="1" customWidth="1"/>
    <col min="13589" max="13589" width="8.42578125" style="171" bestFit="1" customWidth="1"/>
    <col min="13590" max="13590" width="3.7109375" style="171" customWidth="1"/>
    <col min="13591" max="13591" width="8.42578125" style="171" bestFit="1" customWidth="1"/>
    <col min="13592" max="13592" width="7.7109375" style="171" bestFit="1" customWidth="1"/>
    <col min="13593" max="13593" width="13.5703125" style="171" bestFit="1" customWidth="1"/>
    <col min="13594" max="13824" width="3.7109375" style="171" customWidth="1"/>
    <col min="13825" max="13825" width="23" style="171" bestFit="1" customWidth="1"/>
    <col min="13826" max="13831" width="3.7109375" style="171" customWidth="1"/>
    <col min="13832" max="13832" width="12" style="171" bestFit="1" customWidth="1"/>
    <col min="13833" max="13833" width="7.7109375" style="171" bestFit="1" customWidth="1"/>
    <col min="13834" max="13837" width="3.7109375" style="171" customWidth="1"/>
    <col min="13838" max="13838" width="12" style="171" bestFit="1" customWidth="1"/>
    <col min="13839" max="13839" width="7.7109375" style="171" bestFit="1" customWidth="1"/>
    <col min="13840" max="13843" width="3.7109375" style="171" customWidth="1"/>
    <col min="13844" max="13844" width="12" style="171" bestFit="1" customWidth="1"/>
    <col min="13845" max="13845" width="8.42578125" style="171" bestFit="1" customWidth="1"/>
    <col min="13846" max="13846" width="3.7109375" style="171" customWidth="1"/>
    <col min="13847" max="13847" width="8.42578125" style="171" bestFit="1" customWidth="1"/>
    <col min="13848" max="13848" width="7.7109375" style="171" bestFit="1" customWidth="1"/>
    <col min="13849" max="13849" width="13.5703125" style="171" bestFit="1" customWidth="1"/>
    <col min="13850" max="14080" width="3.7109375" style="171" customWidth="1"/>
    <col min="14081" max="14081" width="23" style="171" bestFit="1" customWidth="1"/>
    <col min="14082" max="14087" width="3.7109375" style="171" customWidth="1"/>
    <col min="14088" max="14088" width="12" style="171" bestFit="1" customWidth="1"/>
    <col min="14089" max="14089" width="7.7109375" style="171" bestFit="1" customWidth="1"/>
    <col min="14090" max="14093" width="3.7109375" style="171" customWidth="1"/>
    <col min="14094" max="14094" width="12" style="171" bestFit="1" customWidth="1"/>
    <col min="14095" max="14095" width="7.7109375" style="171" bestFit="1" customWidth="1"/>
    <col min="14096" max="14099" width="3.7109375" style="171" customWidth="1"/>
    <col min="14100" max="14100" width="12" style="171" bestFit="1" customWidth="1"/>
    <col min="14101" max="14101" width="8.42578125" style="171" bestFit="1" customWidth="1"/>
    <col min="14102" max="14102" width="3.7109375" style="171" customWidth="1"/>
    <col min="14103" max="14103" width="8.42578125" style="171" bestFit="1" customWidth="1"/>
    <col min="14104" max="14104" width="7.7109375" style="171" bestFit="1" customWidth="1"/>
    <col min="14105" max="14105" width="13.5703125" style="171" bestFit="1" customWidth="1"/>
    <col min="14106" max="14336" width="3.7109375" style="171" customWidth="1"/>
    <col min="14337" max="14337" width="23" style="171" bestFit="1" customWidth="1"/>
    <col min="14338" max="14343" width="3.7109375" style="171" customWidth="1"/>
    <col min="14344" max="14344" width="12" style="171" bestFit="1" customWidth="1"/>
    <col min="14345" max="14345" width="7.7109375" style="171" bestFit="1" customWidth="1"/>
    <col min="14346" max="14349" width="3.7109375" style="171" customWidth="1"/>
    <col min="14350" max="14350" width="12" style="171" bestFit="1" customWidth="1"/>
    <col min="14351" max="14351" width="7.7109375" style="171" bestFit="1" customWidth="1"/>
    <col min="14352" max="14355" width="3.7109375" style="171" customWidth="1"/>
    <col min="14356" max="14356" width="12" style="171" bestFit="1" customWidth="1"/>
    <col min="14357" max="14357" width="8.42578125" style="171" bestFit="1" customWidth="1"/>
    <col min="14358" max="14358" width="3.7109375" style="171" customWidth="1"/>
    <col min="14359" max="14359" width="8.42578125" style="171" bestFit="1" customWidth="1"/>
    <col min="14360" max="14360" width="7.7109375" style="171" bestFit="1" customWidth="1"/>
    <col min="14361" max="14361" width="13.5703125" style="171" bestFit="1" customWidth="1"/>
    <col min="14362" max="14592" width="3.7109375" style="171" customWidth="1"/>
    <col min="14593" max="14593" width="23" style="171" bestFit="1" customWidth="1"/>
    <col min="14594" max="14599" width="3.7109375" style="171" customWidth="1"/>
    <col min="14600" max="14600" width="12" style="171" bestFit="1" customWidth="1"/>
    <col min="14601" max="14601" width="7.7109375" style="171" bestFit="1" customWidth="1"/>
    <col min="14602" max="14605" width="3.7109375" style="171" customWidth="1"/>
    <col min="14606" max="14606" width="12" style="171" bestFit="1" customWidth="1"/>
    <col min="14607" max="14607" width="7.7109375" style="171" bestFit="1" customWidth="1"/>
    <col min="14608" max="14611" width="3.7109375" style="171" customWidth="1"/>
    <col min="14612" max="14612" width="12" style="171" bestFit="1" customWidth="1"/>
    <col min="14613" max="14613" width="8.42578125" style="171" bestFit="1" customWidth="1"/>
    <col min="14614" max="14614" width="3.7109375" style="171" customWidth="1"/>
    <col min="14615" max="14615" width="8.42578125" style="171" bestFit="1" customWidth="1"/>
    <col min="14616" max="14616" width="7.7109375" style="171" bestFit="1" customWidth="1"/>
    <col min="14617" max="14617" width="13.5703125" style="171" bestFit="1" customWidth="1"/>
    <col min="14618" max="14848" width="3.7109375" style="171" customWidth="1"/>
    <col min="14849" max="14849" width="23" style="171" bestFit="1" customWidth="1"/>
    <col min="14850" max="14855" width="3.7109375" style="171" customWidth="1"/>
    <col min="14856" max="14856" width="12" style="171" bestFit="1" customWidth="1"/>
    <col min="14857" max="14857" width="7.7109375" style="171" bestFit="1" customWidth="1"/>
    <col min="14858" max="14861" width="3.7109375" style="171" customWidth="1"/>
    <col min="14862" max="14862" width="12" style="171" bestFit="1" customWidth="1"/>
    <col min="14863" max="14863" width="7.7109375" style="171" bestFit="1" customWidth="1"/>
    <col min="14864" max="14867" width="3.7109375" style="171" customWidth="1"/>
    <col min="14868" max="14868" width="12" style="171" bestFit="1" customWidth="1"/>
    <col min="14869" max="14869" width="8.42578125" style="171" bestFit="1" customWidth="1"/>
    <col min="14870" max="14870" width="3.7109375" style="171" customWidth="1"/>
    <col min="14871" max="14871" width="8.42578125" style="171" bestFit="1" customWidth="1"/>
    <col min="14872" max="14872" width="7.7109375" style="171" bestFit="1" customWidth="1"/>
    <col min="14873" max="14873" width="13.5703125" style="171" bestFit="1" customWidth="1"/>
    <col min="14874" max="15104" width="3.7109375" style="171" customWidth="1"/>
    <col min="15105" max="15105" width="23" style="171" bestFit="1" customWidth="1"/>
    <col min="15106" max="15111" width="3.7109375" style="171" customWidth="1"/>
    <col min="15112" max="15112" width="12" style="171" bestFit="1" customWidth="1"/>
    <col min="15113" max="15113" width="7.7109375" style="171" bestFit="1" customWidth="1"/>
    <col min="15114" max="15117" width="3.7109375" style="171" customWidth="1"/>
    <col min="15118" max="15118" width="12" style="171" bestFit="1" customWidth="1"/>
    <col min="15119" max="15119" width="7.7109375" style="171" bestFit="1" customWidth="1"/>
    <col min="15120" max="15123" width="3.7109375" style="171" customWidth="1"/>
    <col min="15124" max="15124" width="12" style="171" bestFit="1" customWidth="1"/>
    <col min="15125" max="15125" width="8.42578125" style="171" bestFit="1" customWidth="1"/>
    <col min="15126" max="15126" width="3.7109375" style="171" customWidth="1"/>
    <col min="15127" max="15127" width="8.42578125" style="171" bestFit="1" customWidth="1"/>
    <col min="15128" max="15128" width="7.7109375" style="171" bestFit="1" customWidth="1"/>
    <col min="15129" max="15129" width="13.5703125" style="171" bestFit="1" customWidth="1"/>
    <col min="15130" max="15360" width="3.7109375" style="171" customWidth="1"/>
    <col min="15361" max="15361" width="23" style="171" bestFit="1" customWidth="1"/>
    <col min="15362" max="15367" width="3.7109375" style="171" customWidth="1"/>
    <col min="15368" max="15368" width="12" style="171" bestFit="1" customWidth="1"/>
    <col min="15369" max="15369" width="7.7109375" style="171" bestFit="1" customWidth="1"/>
    <col min="15370" max="15373" width="3.7109375" style="171" customWidth="1"/>
    <col min="15374" max="15374" width="12" style="171" bestFit="1" customWidth="1"/>
    <col min="15375" max="15375" width="7.7109375" style="171" bestFit="1" customWidth="1"/>
    <col min="15376" max="15379" width="3.7109375" style="171" customWidth="1"/>
    <col min="15380" max="15380" width="12" style="171" bestFit="1" customWidth="1"/>
    <col min="15381" max="15381" width="8.42578125" style="171" bestFit="1" customWidth="1"/>
    <col min="15382" max="15382" width="3.7109375" style="171" customWidth="1"/>
    <col min="15383" max="15383" width="8.42578125" style="171" bestFit="1" customWidth="1"/>
    <col min="15384" max="15384" width="7.7109375" style="171" bestFit="1" customWidth="1"/>
    <col min="15385" max="15385" width="13.5703125" style="171" bestFit="1" customWidth="1"/>
    <col min="15386" max="15616" width="3.7109375" style="171" customWidth="1"/>
    <col min="15617" max="15617" width="23" style="171" bestFit="1" customWidth="1"/>
    <col min="15618" max="15623" width="3.7109375" style="171" customWidth="1"/>
    <col min="15624" max="15624" width="12" style="171" bestFit="1" customWidth="1"/>
    <col min="15625" max="15625" width="7.7109375" style="171" bestFit="1" customWidth="1"/>
    <col min="15626" max="15629" width="3.7109375" style="171" customWidth="1"/>
    <col min="15630" max="15630" width="12" style="171" bestFit="1" customWidth="1"/>
    <col min="15631" max="15631" width="7.7109375" style="171" bestFit="1" customWidth="1"/>
    <col min="15632" max="15635" width="3.7109375" style="171" customWidth="1"/>
    <col min="15636" max="15636" width="12" style="171" bestFit="1" customWidth="1"/>
    <col min="15637" max="15637" width="8.42578125" style="171" bestFit="1" customWidth="1"/>
    <col min="15638" max="15638" width="3.7109375" style="171" customWidth="1"/>
    <col min="15639" max="15639" width="8.42578125" style="171" bestFit="1" customWidth="1"/>
    <col min="15640" max="15640" width="7.7109375" style="171" bestFit="1" customWidth="1"/>
    <col min="15641" max="15641" width="13.5703125" style="171" bestFit="1" customWidth="1"/>
    <col min="15642" max="15872" width="3.7109375" style="171" customWidth="1"/>
    <col min="15873" max="15873" width="23" style="171" bestFit="1" customWidth="1"/>
    <col min="15874" max="15879" width="3.7109375" style="171" customWidth="1"/>
    <col min="15880" max="15880" width="12" style="171" bestFit="1" customWidth="1"/>
    <col min="15881" max="15881" width="7.7109375" style="171" bestFit="1" customWidth="1"/>
    <col min="15882" max="15885" width="3.7109375" style="171" customWidth="1"/>
    <col min="15886" max="15886" width="12" style="171" bestFit="1" customWidth="1"/>
    <col min="15887" max="15887" width="7.7109375" style="171" bestFit="1" customWidth="1"/>
    <col min="15888" max="15891" width="3.7109375" style="171" customWidth="1"/>
    <col min="15892" max="15892" width="12" style="171" bestFit="1" customWidth="1"/>
    <col min="15893" max="15893" width="8.42578125" style="171" bestFit="1" customWidth="1"/>
    <col min="15894" max="15894" width="3.7109375" style="171" customWidth="1"/>
    <col min="15895" max="15895" width="8.42578125" style="171" bestFit="1" customWidth="1"/>
    <col min="15896" max="15896" width="7.7109375" style="171" bestFit="1" customWidth="1"/>
    <col min="15897" max="15897" width="13.5703125" style="171" bestFit="1" customWidth="1"/>
    <col min="15898" max="16128" width="3.7109375" style="171" customWidth="1"/>
    <col min="16129" max="16129" width="23" style="171" bestFit="1" customWidth="1"/>
    <col min="16130" max="16135" width="3.7109375" style="171" customWidth="1"/>
    <col min="16136" max="16136" width="12" style="171" bestFit="1" customWidth="1"/>
    <col min="16137" max="16137" width="7.7109375" style="171" bestFit="1" customWidth="1"/>
    <col min="16138" max="16141" width="3.7109375" style="171" customWidth="1"/>
    <col min="16142" max="16142" width="12" style="171" bestFit="1" customWidth="1"/>
    <col min="16143" max="16143" width="7.7109375" style="171" bestFit="1" customWidth="1"/>
    <col min="16144" max="16147" width="3.7109375" style="171" customWidth="1"/>
    <col min="16148" max="16148" width="12" style="171" bestFit="1" customWidth="1"/>
    <col min="16149" max="16149" width="8.42578125" style="171" bestFit="1" customWidth="1"/>
    <col min="16150" max="16150" width="3.7109375" style="171" customWidth="1"/>
    <col min="16151" max="16151" width="8.42578125" style="171" bestFit="1" customWidth="1"/>
    <col min="16152" max="16152" width="7.7109375" style="171" bestFit="1" customWidth="1"/>
    <col min="16153" max="16153" width="13.5703125" style="171" bestFit="1" customWidth="1"/>
    <col min="16154" max="16384" width="3.7109375" style="171" customWidth="1"/>
  </cols>
  <sheetData>
    <row r="1" spans="1:25">
      <c r="A1" s="234" t="s">
        <v>480</v>
      </c>
      <c r="B1" s="234"/>
      <c r="C1" s="234"/>
      <c r="D1" s="234"/>
      <c r="E1" s="234"/>
    </row>
    <row r="2" spans="1:25">
      <c r="A2" s="234" t="s">
        <v>481</v>
      </c>
      <c r="B2" s="234"/>
      <c r="C2" s="234"/>
      <c r="D2" s="234"/>
      <c r="E2" s="234"/>
    </row>
    <row r="3" spans="1:25">
      <c r="A3" s="234" t="s">
        <v>482</v>
      </c>
      <c r="B3" s="234"/>
      <c r="C3" s="234"/>
      <c r="D3" s="234"/>
      <c r="E3" s="234"/>
    </row>
    <row r="4" spans="1:25">
      <c r="A4" s="234"/>
      <c r="B4" s="234"/>
      <c r="C4" s="234"/>
      <c r="D4" s="234"/>
      <c r="E4" s="234"/>
    </row>
    <row r="6" spans="1:25" ht="15.75">
      <c r="A6" s="296" t="s">
        <v>483</v>
      </c>
      <c r="B6" s="299"/>
      <c r="C6" s="299"/>
      <c r="D6" s="299"/>
      <c r="E6" s="299"/>
      <c r="F6" s="299"/>
    </row>
    <row r="9" spans="1:25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</row>
    <row r="10" spans="1:25">
      <c r="A10" s="290"/>
      <c r="B10" s="299"/>
      <c r="C10" s="299"/>
      <c r="D10" s="290"/>
      <c r="E10" s="299"/>
      <c r="F10" s="299"/>
      <c r="G10" s="289" t="s">
        <v>484</v>
      </c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</row>
    <row r="11" spans="1:25" ht="12" thickBot="1">
      <c r="A11" s="290"/>
      <c r="B11" s="299"/>
      <c r="C11" s="299"/>
      <c r="D11" s="290"/>
      <c r="E11" s="299"/>
      <c r="F11" s="299"/>
      <c r="G11" s="295">
        <v>2022</v>
      </c>
      <c r="H11" s="300"/>
      <c r="I11" s="300"/>
      <c r="J11" s="290"/>
      <c r="K11" s="299"/>
      <c r="L11" s="299"/>
      <c r="M11" s="295">
        <v>2021</v>
      </c>
      <c r="N11" s="300"/>
      <c r="O11" s="300"/>
      <c r="P11" s="290"/>
      <c r="Q11" s="299"/>
      <c r="R11" s="299"/>
      <c r="S11" s="295">
        <v>2020</v>
      </c>
      <c r="T11" s="300"/>
      <c r="U11" s="300"/>
    </row>
    <row r="12" spans="1:25">
      <c r="A12" s="289" t="s">
        <v>485</v>
      </c>
      <c r="B12" s="299"/>
      <c r="C12" s="299"/>
      <c r="D12" s="290"/>
      <c r="E12" s="299"/>
      <c r="F12" s="299"/>
      <c r="G12" s="290"/>
      <c r="H12" s="299"/>
      <c r="I12" s="299"/>
      <c r="J12" s="290"/>
      <c r="K12" s="299"/>
      <c r="L12" s="299"/>
      <c r="M12" s="290"/>
      <c r="N12" s="299"/>
      <c r="O12" s="299"/>
      <c r="P12" s="290"/>
      <c r="Q12" s="299"/>
      <c r="R12" s="299"/>
      <c r="S12" s="290"/>
      <c r="T12" s="299"/>
      <c r="U12" s="299"/>
    </row>
    <row r="13" spans="1:25">
      <c r="A13" s="289" t="s">
        <v>486</v>
      </c>
      <c r="B13" s="299"/>
      <c r="C13" s="299"/>
      <c r="D13" s="290"/>
      <c r="E13" s="299"/>
      <c r="F13" s="299"/>
      <c r="H13" s="236">
        <v>4491924</v>
      </c>
      <c r="I13" s="235"/>
      <c r="J13" s="290"/>
      <c r="K13" s="299"/>
      <c r="L13" s="299"/>
      <c r="N13" s="236">
        <v>5116228</v>
      </c>
      <c r="O13" s="235"/>
      <c r="P13" s="290"/>
      <c r="Q13" s="299"/>
      <c r="R13" s="299"/>
      <c r="T13" s="236">
        <v>2761395</v>
      </c>
      <c r="U13" s="237">
        <f>T13/1000</f>
        <v>2761.395</v>
      </c>
    </row>
    <row r="14" spans="1:25">
      <c r="A14" s="289" t="s">
        <v>487</v>
      </c>
      <c r="B14" s="299"/>
      <c r="C14" s="299"/>
      <c r="D14" s="290"/>
      <c r="E14" s="299"/>
      <c r="F14" s="299"/>
      <c r="G14" s="290"/>
      <c r="H14" s="299"/>
      <c r="I14" s="299"/>
      <c r="J14" s="290"/>
      <c r="K14" s="299"/>
      <c r="L14" s="299"/>
      <c r="M14" s="290"/>
      <c r="N14" s="299"/>
      <c r="O14" s="299"/>
      <c r="P14" s="290"/>
      <c r="Q14" s="299"/>
      <c r="R14" s="299"/>
      <c r="S14" s="290"/>
      <c r="T14" s="299"/>
      <c r="U14" s="299"/>
    </row>
    <row r="15" spans="1:25">
      <c r="A15" s="289" t="s">
        <v>488</v>
      </c>
      <c r="B15" s="299"/>
      <c r="C15" s="299"/>
      <c r="D15" s="290"/>
      <c r="E15" s="299"/>
      <c r="F15" s="299"/>
      <c r="G15" s="292" t="s">
        <v>489</v>
      </c>
      <c r="H15" s="299"/>
      <c r="I15" s="238">
        <f>G15/H13</f>
        <v>-3.7487361763021814</v>
      </c>
      <c r="J15" s="294">
        <f>G15+G16</f>
        <v>-16659728</v>
      </c>
      <c r="K15" s="299"/>
      <c r="L15" s="299"/>
      <c r="M15" s="292" t="s">
        <v>490</v>
      </c>
      <c r="N15" s="299"/>
      <c r="O15" s="238">
        <f>M15/N13</f>
        <v>-3.4600103826490924</v>
      </c>
      <c r="P15" s="290"/>
      <c r="Q15" s="299"/>
      <c r="R15" s="299"/>
      <c r="S15" s="293" t="s">
        <v>491</v>
      </c>
      <c r="T15" s="301"/>
      <c r="U15" s="239">
        <f>S15/T13</f>
        <v>-4.2657004883401326</v>
      </c>
      <c r="W15" s="171">
        <f>S15+S16</f>
        <v>-12536717</v>
      </c>
      <c r="Y15" s="171" t="s">
        <v>491</v>
      </c>
    </row>
    <row r="16" spans="1:25">
      <c r="A16" s="289" t="s">
        <v>492</v>
      </c>
      <c r="B16" s="299"/>
      <c r="C16" s="299"/>
      <c r="D16" s="290"/>
      <c r="E16" s="299"/>
      <c r="F16" s="299"/>
      <c r="G16" s="288">
        <v>179310</v>
      </c>
      <c r="H16" s="299"/>
      <c r="I16" s="238">
        <f>G16/H13</f>
        <v>3.9918306721128852E-2</v>
      </c>
      <c r="J16" s="290">
        <f>J15/1000</f>
        <v>-16659.727999999999</v>
      </c>
      <c r="K16" s="299"/>
      <c r="L16" s="299"/>
      <c r="M16" s="288">
        <v>232898</v>
      </c>
      <c r="N16" s="299"/>
      <c r="O16" s="238">
        <f>M16/N13</f>
        <v>4.5521427113881553E-2</v>
      </c>
      <c r="P16" s="290"/>
      <c r="Q16" s="299"/>
      <c r="R16" s="299"/>
      <c r="S16" s="293" t="s">
        <v>493</v>
      </c>
      <c r="T16" s="301"/>
      <c r="U16" s="238">
        <f>S16/T13</f>
        <v>-0.27429360884625342</v>
      </c>
      <c r="W16" s="171">
        <f>W15/1000</f>
        <v>-12536.717000000001</v>
      </c>
      <c r="Y16" s="171" t="s">
        <v>493</v>
      </c>
    </row>
    <row r="17" spans="1:25">
      <c r="A17" s="289" t="s">
        <v>494</v>
      </c>
      <c r="B17" s="299"/>
      <c r="C17" s="299"/>
      <c r="D17" s="290"/>
      <c r="E17" s="299"/>
      <c r="F17" s="299"/>
      <c r="G17" s="291">
        <v>14026132</v>
      </c>
      <c r="H17" s="299"/>
      <c r="I17" s="235"/>
      <c r="J17" s="290"/>
      <c r="K17" s="299"/>
      <c r="L17" s="299"/>
      <c r="M17" s="291">
        <v>12230367</v>
      </c>
      <c r="N17" s="299"/>
      <c r="O17" s="235"/>
      <c r="P17" s="290"/>
      <c r="Q17" s="299"/>
      <c r="R17" s="299"/>
      <c r="S17" s="291">
        <v>10806912</v>
      </c>
      <c r="T17" s="299"/>
      <c r="U17" s="235"/>
      <c r="Y17" s="240">
        <f>Y15+Y16</f>
        <v>-12536717</v>
      </c>
    </row>
    <row r="18" spans="1:25">
      <c r="A18" s="289" t="s">
        <v>495</v>
      </c>
      <c r="B18" s="299"/>
      <c r="C18" s="299"/>
      <c r="D18" s="290"/>
      <c r="E18" s="299"/>
      <c r="F18" s="299"/>
      <c r="G18" s="288">
        <v>336682</v>
      </c>
      <c r="H18" s="299"/>
      <c r="I18" s="235"/>
      <c r="J18" s="290"/>
      <c r="K18" s="299"/>
      <c r="L18" s="299"/>
      <c r="M18" s="288">
        <v>208412</v>
      </c>
      <c r="N18" s="299"/>
      <c r="O18" s="235"/>
      <c r="P18" s="290"/>
      <c r="Q18" s="299"/>
      <c r="R18" s="299"/>
      <c r="S18" s="288">
        <v>115710</v>
      </c>
      <c r="T18" s="299"/>
      <c r="U18" s="235"/>
    </row>
    <row r="19" spans="1:25">
      <c r="A19" s="289" t="s">
        <v>496</v>
      </c>
      <c r="B19" s="299"/>
      <c r="C19" s="299"/>
      <c r="D19" s="290"/>
      <c r="E19" s="299"/>
      <c r="F19" s="299"/>
      <c r="G19" s="288">
        <v>575452</v>
      </c>
      <c r="H19" s="299"/>
      <c r="I19" s="235"/>
      <c r="J19" s="290"/>
      <c r="K19" s="299"/>
      <c r="L19" s="299"/>
      <c r="M19" s="288">
        <v>403220</v>
      </c>
      <c r="N19" s="299"/>
      <c r="O19" s="235"/>
      <c r="P19" s="290"/>
      <c r="Q19" s="299"/>
      <c r="R19" s="299"/>
      <c r="S19" s="288">
        <v>415180</v>
      </c>
      <c r="T19" s="299"/>
      <c r="U19" s="235"/>
    </row>
    <row r="20" spans="1:25">
      <c r="A20" s="289" t="s">
        <v>497</v>
      </c>
      <c r="B20" s="299"/>
      <c r="C20" s="299"/>
      <c r="D20" s="290"/>
      <c r="E20" s="299"/>
      <c r="F20" s="299"/>
      <c r="G20" s="292" t="s">
        <v>498</v>
      </c>
      <c r="H20" s="299"/>
      <c r="I20" s="235"/>
      <c r="J20" s="290"/>
      <c r="K20" s="299"/>
      <c r="L20" s="299"/>
      <c r="M20" s="292" t="s">
        <v>499</v>
      </c>
      <c r="N20" s="299"/>
      <c r="O20" s="235"/>
      <c r="P20" s="290"/>
      <c r="Q20" s="299"/>
      <c r="R20" s="299"/>
      <c r="S20" s="288">
        <v>533278</v>
      </c>
      <c r="T20" s="299"/>
      <c r="U20" s="235"/>
    </row>
    <row r="21" spans="1:25">
      <c r="A21" s="289" t="s">
        <v>500</v>
      </c>
      <c r="B21" s="299"/>
      <c r="C21" s="299"/>
      <c r="D21" s="290"/>
      <c r="E21" s="299"/>
      <c r="F21" s="299"/>
      <c r="G21" s="288">
        <v>533543</v>
      </c>
      <c r="H21" s="299"/>
      <c r="I21" s="235"/>
      <c r="J21" s="290"/>
      <c r="K21" s="299"/>
      <c r="L21" s="299"/>
      <c r="M21" s="288">
        <v>376777</v>
      </c>
      <c r="N21" s="299"/>
      <c r="O21" s="235"/>
      <c r="P21" s="290"/>
      <c r="Q21" s="299"/>
      <c r="R21" s="299"/>
      <c r="S21" s="288">
        <v>293126</v>
      </c>
      <c r="T21" s="299"/>
      <c r="U21" s="235"/>
      <c r="X21" s="198">
        <f>AVERAGE(I15,O15,U15)</f>
        <v>-3.8248156824304687</v>
      </c>
    </row>
    <row r="22" spans="1:25">
      <c r="A22" s="289" t="s">
        <v>501</v>
      </c>
      <c r="B22" s="299"/>
      <c r="C22" s="299"/>
      <c r="D22" s="290"/>
      <c r="E22" s="299"/>
      <c r="F22" s="299"/>
      <c r="G22" s="292" t="s">
        <v>502</v>
      </c>
      <c r="H22" s="299"/>
      <c r="I22" s="235"/>
      <c r="J22" s="290"/>
      <c r="K22" s="299"/>
      <c r="L22" s="299"/>
      <c r="M22" s="288">
        <v>199548</v>
      </c>
      <c r="N22" s="299"/>
      <c r="O22" s="235"/>
      <c r="P22" s="290"/>
      <c r="Q22" s="299"/>
      <c r="R22" s="299"/>
      <c r="S22" s="288">
        <v>70066</v>
      </c>
      <c r="T22" s="299"/>
      <c r="U22" s="235"/>
      <c r="X22" s="198">
        <f>AVERAGE(I16,O16,U16)</f>
        <v>-6.2951291670414342E-2</v>
      </c>
    </row>
    <row r="23" spans="1:25">
      <c r="A23" s="289" t="s">
        <v>503</v>
      </c>
      <c r="B23" s="299"/>
      <c r="C23" s="299"/>
      <c r="D23" s="290"/>
      <c r="E23" s="299"/>
      <c r="F23" s="299"/>
      <c r="G23" s="290"/>
      <c r="H23" s="299"/>
      <c r="I23" s="299"/>
      <c r="J23" s="290"/>
      <c r="K23" s="299"/>
      <c r="L23" s="299"/>
      <c r="M23" s="290"/>
      <c r="N23" s="299"/>
      <c r="O23" s="299"/>
      <c r="P23" s="290"/>
      <c r="Q23" s="299"/>
      <c r="R23" s="299"/>
      <c r="S23" s="290"/>
      <c r="T23" s="299"/>
      <c r="U23" s="299"/>
    </row>
    <row r="24" spans="1:25">
      <c r="A24" s="289" t="s">
        <v>504</v>
      </c>
      <c r="B24" s="299"/>
      <c r="C24" s="299"/>
      <c r="D24" s="290"/>
      <c r="E24" s="299"/>
      <c r="F24" s="299"/>
      <c r="G24" s="292" t="s">
        <v>505</v>
      </c>
      <c r="H24" s="299"/>
      <c r="I24" s="235"/>
      <c r="J24" s="290"/>
      <c r="K24" s="299"/>
      <c r="L24" s="299"/>
      <c r="M24" s="292" t="s">
        <v>506</v>
      </c>
      <c r="N24" s="299"/>
      <c r="O24" s="235"/>
      <c r="P24" s="290"/>
      <c r="Q24" s="299"/>
      <c r="R24" s="299"/>
      <c r="S24" s="292" t="s">
        <v>507</v>
      </c>
      <c r="T24" s="299"/>
      <c r="U24" s="235"/>
    </row>
    <row r="25" spans="1:25">
      <c r="A25" s="289" t="s">
        <v>508</v>
      </c>
      <c r="B25" s="299"/>
      <c r="C25" s="299"/>
      <c r="D25" s="290"/>
      <c r="E25" s="299"/>
      <c r="F25" s="299"/>
      <c r="G25" s="292" t="s">
        <v>509</v>
      </c>
      <c r="H25" s="299"/>
      <c r="I25" s="235"/>
      <c r="J25" s="290"/>
      <c r="K25" s="299"/>
      <c r="L25" s="299"/>
      <c r="M25" s="288">
        <v>145115</v>
      </c>
      <c r="N25" s="299"/>
      <c r="O25" s="235"/>
      <c r="P25" s="290"/>
      <c r="Q25" s="299"/>
      <c r="R25" s="299"/>
      <c r="S25" s="292" t="s">
        <v>510</v>
      </c>
      <c r="T25" s="299"/>
      <c r="U25" s="235"/>
    </row>
    <row r="26" spans="1:25">
      <c r="A26" s="289" t="s">
        <v>511</v>
      </c>
      <c r="B26" s="299"/>
      <c r="C26" s="299"/>
      <c r="D26" s="290"/>
      <c r="E26" s="299"/>
      <c r="F26" s="299"/>
      <c r="G26" s="292" t="s">
        <v>512</v>
      </c>
      <c r="H26" s="299"/>
      <c r="I26" s="235"/>
      <c r="J26" s="290"/>
      <c r="K26" s="299"/>
      <c r="L26" s="299"/>
      <c r="M26" s="288">
        <v>180338</v>
      </c>
      <c r="N26" s="299"/>
      <c r="O26" s="235"/>
      <c r="P26" s="290"/>
      <c r="Q26" s="299"/>
      <c r="R26" s="299"/>
      <c r="S26" s="288">
        <v>198183</v>
      </c>
      <c r="T26" s="299"/>
      <c r="U26" s="235"/>
    </row>
    <row r="27" spans="1:25">
      <c r="A27" s="289" t="s">
        <v>513</v>
      </c>
      <c r="B27" s="299"/>
      <c r="C27" s="299"/>
      <c r="D27" s="290"/>
      <c r="E27" s="299"/>
      <c r="F27" s="299"/>
      <c r="G27" s="288">
        <v>27356</v>
      </c>
      <c r="H27" s="299"/>
      <c r="I27" s="235"/>
      <c r="J27" s="290"/>
      <c r="K27" s="299"/>
      <c r="L27" s="299"/>
      <c r="M27" s="288">
        <v>91350</v>
      </c>
      <c r="N27" s="299"/>
      <c r="O27" s="235"/>
      <c r="P27" s="290"/>
      <c r="Q27" s="299"/>
      <c r="R27" s="299"/>
      <c r="S27" s="288">
        <v>193247</v>
      </c>
      <c r="T27" s="299"/>
      <c r="U27" s="235"/>
    </row>
    <row r="28" spans="1:25">
      <c r="A28" s="289" t="s">
        <v>514</v>
      </c>
      <c r="B28" s="299"/>
      <c r="C28" s="299"/>
      <c r="D28" s="290"/>
      <c r="E28" s="299"/>
      <c r="F28" s="299"/>
      <c r="G28" s="292" t="s">
        <v>515</v>
      </c>
      <c r="H28" s="299"/>
      <c r="I28" s="235"/>
      <c r="J28" s="290"/>
      <c r="K28" s="299"/>
      <c r="L28" s="299"/>
      <c r="M28" s="292" t="s">
        <v>516</v>
      </c>
      <c r="N28" s="299"/>
      <c r="O28" s="235"/>
      <c r="P28" s="290"/>
      <c r="Q28" s="299"/>
      <c r="R28" s="299"/>
      <c r="S28" s="292" t="s">
        <v>517</v>
      </c>
      <c r="T28" s="299"/>
      <c r="U28" s="235"/>
    </row>
    <row r="29" spans="1:25">
      <c r="A29" s="289" t="s">
        <v>518</v>
      </c>
      <c r="B29" s="299"/>
      <c r="C29" s="299"/>
      <c r="D29" s="290"/>
      <c r="E29" s="299"/>
      <c r="F29" s="299"/>
      <c r="G29" s="291">
        <v>2026257</v>
      </c>
      <c r="H29" s="299"/>
      <c r="I29" s="235"/>
      <c r="J29" s="290"/>
      <c r="K29" s="299"/>
      <c r="L29" s="299"/>
      <c r="M29" s="288">
        <v>392610</v>
      </c>
      <c r="N29" s="299"/>
      <c r="O29" s="235"/>
      <c r="P29" s="290"/>
      <c r="Q29" s="299"/>
      <c r="R29" s="299"/>
      <c r="S29" s="291">
        <v>2427077</v>
      </c>
      <c r="T29" s="299"/>
      <c r="U29" s="235"/>
    </row>
    <row r="30" spans="1:25">
      <c r="A30" s="289" t="s">
        <v>519</v>
      </c>
      <c r="B30" s="299"/>
      <c r="C30" s="299"/>
      <c r="D30" s="290"/>
      <c r="E30" s="299"/>
      <c r="F30" s="299"/>
      <c r="G30" s="290"/>
      <c r="H30" s="299"/>
      <c r="I30" s="299"/>
      <c r="J30" s="290"/>
      <c r="K30" s="299"/>
      <c r="L30" s="299"/>
      <c r="M30" s="290"/>
      <c r="N30" s="299"/>
      <c r="O30" s="299"/>
      <c r="P30" s="290"/>
      <c r="Q30" s="299"/>
      <c r="R30" s="299"/>
      <c r="S30" s="290"/>
      <c r="T30" s="299"/>
      <c r="U30" s="299"/>
    </row>
    <row r="31" spans="1:25">
      <c r="A31" s="289" t="s">
        <v>520</v>
      </c>
      <c r="B31" s="299"/>
      <c r="C31" s="299"/>
      <c r="D31" s="290"/>
      <c r="E31" s="299"/>
      <c r="F31" s="299"/>
      <c r="G31" s="292" t="s">
        <v>521</v>
      </c>
      <c r="H31" s="299"/>
      <c r="I31" s="235"/>
      <c r="J31" s="290"/>
      <c r="K31" s="299"/>
      <c r="L31" s="299"/>
      <c r="M31" s="292" t="s">
        <v>522</v>
      </c>
      <c r="N31" s="299"/>
      <c r="O31" s="235"/>
      <c r="P31" s="290"/>
      <c r="Q31" s="299"/>
      <c r="R31" s="299"/>
      <c r="S31" s="292" t="s">
        <v>523</v>
      </c>
      <c r="T31" s="299"/>
      <c r="U31" s="235"/>
    </row>
    <row r="32" spans="1:25">
      <c r="A32" s="289" t="s">
        <v>524</v>
      </c>
      <c r="B32" s="299"/>
      <c r="C32" s="299"/>
      <c r="D32" s="290"/>
      <c r="E32" s="299"/>
      <c r="F32" s="299"/>
      <c r="G32" s="290"/>
      <c r="H32" s="299"/>
      <c r="I32" s="235"/>
      <c r="J32" s="290"/>
      <c r="K32" s="299"/>
      <c r="L32" s="299"/>
      <c r="M32" s="292" t="s">
        <v>525</v>
      </c>
      <c r="N32" s="299"/>
      <c r="O32" s="235"/>
      <c r="P32" s="290"/>
      <c r="Q32" s="299"/>
      <c r="R32" s="299"/>
      <c r="S32" s="292" t="s">
        <v>526</v>
      </c>
      <c r="T32" s="299"/>
      <c r="U32" s="235"/>
    </row>
    <row r="33" spans="1:21">
      <c r="A33" s="289" t="s">
        <v>527</v>
      </c>
      <c r="B33" s="299"/>
      <c r="C33" s="299"/>
      <c r="D33" s="290"/>
      <c r="E33" s="299"/>
      <c r="F33" s="299"/>
      <c r="G33" s="292" t="s">
        <v>528</v>
      </c>
      <c r="H33" s="299"/>
      <c r="I33" s="235"/>
      <c r="J33" s="290"/>
      <c r="K33" s="299"/>
      <c r="L33" s="299"/>
      <c r="M33" s="292" t="s">
        <v>529</v>
      </c>
      <c r="N33" s="299"/>
      <c r="O33" s="235"/>
      <c r="P33" s="290"/>
      <c r="Q33" s="299"/>
      <c r="R33" s="299"/>
      <c r="S33" s="290"/>
      <c r="T33" s="299"/>
      <c r="U33" s="235"/>
    </row>
    <row r="34" spans="1:21">
      <c r="A34" s="289" t="s">
        <v>530</v>
      </c>
      <c r="B34" s="299"/>
      <c r="C34" s="299"/>
      <c r="D34" s="290"/>
      <c r="E34" s="299"/>
      <c r="F34" s="299"/>
      <c r="G34" s="292" t="s">
        <v>531</v>
      </c>
      <c r="H34" s="299"/>
      <c r="I34" s="235"/>
      <c r="J34" s="290"/>
      <c r="K34" s="299"/>
      <c r="L34" s="299"/>
      <c r="M34" s="290"/>
      <c r="N34" s="299"/>
      <c r="O34" s="235"/>
      <c r="P34" s="290"/>
      <c r="Q34" s="299"/>
      <c r="R34" s="299"/>
      <c r="S34" s="290"/>
      <c r="T34" s="299"/>
      <c r="U34" s="235"/>
    </row>
    <row r="36" spans="1:21">
      <c r="A36" s="289" t="s">
        <v>532</v>
      </c>
      <c r="B36" s="299"/>
      <c r="C36" s="299"/>
      <c r="D36" s="290"/>
      <c r="E36" s="299"/>
      <c r="F36" s="299"/>
      <c r="G36" s="292" t="s">
        <v>533</v>
      </c>
      <c r="H36" s="299"/>
      <c r="I36" s="235"/>
      <c r="J36" s="290"/>
      <c r="K36" s="299"/>
      <c r="L36" s="299"/>
      <c r="M36" s="292" t="s">
        <v>534</v>
      </c>
      <c r="N36" s="299"/>
      <c r="O36" s="235"/>
      <c r="P36" s="290"/>
      <c r="Q36" s="299"/>
      <c r="R36" s="299"/>
      <c r="S36" s="292" t="s">
        <v>535</v>
      </c>
      <c r="T36" s="299"/>
      <c r="U36" s="235"/>
    </row>
    <row r="37" spans="1:21">
      <c r="A37" s="289" t="s">
        <v>536</v>
      </c>
      <c r="B37" s="299"/>
      <c r="C37" s="299"/>
      <c r="D37" s="290"/>
      <c r="E37" s="299"/>
      <c r="F37" s="299"/>
      <c r="G37" s="290"/>
      <c r="H37" s="299"/>
      <c r="I37" s="299"/>
      <c r="J37" s="290"/>
      <c r="K37" s="299"/>
      <c r="L37" s="299"/>
      <c r="M37" s="290"/>
      <c r="N37" s="299"/>
      <c r="O37" s="299"/>
      <c r="P37" s="290"/>
      <c r="Q37" s="299"/>
      <c r="R37" s="299"/>
      <c r="S37" s="290"/>
      <c r="T37" s="299"/>
      <c r="U37" s="299"/>
    </row>
    <row r="38" spans="1:21">
      <c r="A38" s="289" t="s">
        <v>537</v>
      </c>
      <c r="B38" s="299"/>
      <c r="C38" s="299"/>
      <c r="D38" s="290"/>
      <c r="E38" s="299"/>
      <c r="F38" s="299"/>
      <c r="G38" s="290"/>
      <c r="H38" s="299"/>
      <c r="I38" s="235"/>
      <c r="J38" s="290"/>
      <c r="K38" s="299"/>
      <c r="L38" s="299"/>
      <c r="M38" s="290"/>
      <c r="N38" s="299"/>
      <c r="O38" s="235"/>
      <c r="P38" s="290"/>
      <c r="Q38" s="299"/>
      <c r="R38" s="299"/>
      <c r="S38" s="291">
        <v>1009464</v>
      </c>
      <c r="T38" s="299"/>
      <c r="U38" s="235"/>
    </row>
    <row r="39" spans="1:21">
      <c r="A39" s="289" t="s">
        <v>538</v>
      </c>
      <c r="B39" s="299"/>
      <c r="C39" s="299"/>
      <c r="D39" s="290"/>
      <c r="E39" s="299"/>
      <c r="F39" s="299"/>
      <c r="G39" s="290"/>
      <c r="H39" s="299"/>
      <c r="I39" s="235"/>
      <c r="J39" s="290"/>
      <c r="K39" s="299"/>
      <c r="L39" s="299"/>
      <c r="M39" s="290"/>
      <c r="N39" s="299"/>
      <c r="O39" s="235"/>
      <c r="P39" s="290"/>
      <c r="Q39" s="299"/>
      <c r="R39" s="299"/>
      <c r="S39" s="292" t="s">
        <v>539</v>
      </c>
      <c r="T39" s="299"/>
      <c r="U39" s="235"/>
    </row>
    <row r="40" spans="1:21">
      <c r="A40" s="289" t="s">
        <v>540</v>
      </c>
      <c r="B40" s="299"/>
      <c r="C40" s="299"/>
      <c r="D40" s="290"/>
      <c r="E40" s="299"/>
      <c r="F40" s="299"/>
      <c r="G40" s="292" t="s">
        <v>541</v>
      </c>
      <c r="H40" s="299"/>
      <c r="I40" s="235"/>
      <c r="J40" s="290"/>
      <c r="K40" s="299"/>
      <c r="L40" s="299"/>
      <c r="M40" s="292" t="s">
        <v>542</v>
      </c>
      <c r="N40" s="299"/>
      <c r="O40" s="235"/>
      <c r="P40" s="290"/>
      <c r="Q40" s="299"/>
      <c r="R40" s="299"/>
      <c r="S40" s="290"/>
      <c r="T40" s="299"/>
      <c r="U40" s="235"/>
    </row>
    <row r="41" spans="1:21">
      <c r="A41" s="289" t="s">
        <v>543</v>
      </c>
      <c r="B41" s="299"/>
      <c r="C41" s="299"/>
      <c r="D41" s="290"/>
      <c r="E41" s="299"/>
      <c r="F41" s="299"/>
      <c r="G41" s="288">
        <v>35746</v>
      </c>
      <c r="H41" s="299"/>
      <c r="I41" s="235"/>
      <c r="J41" s="290"/>
      <c r="K41" s="299"/>
      <c r="L41" s="299"/>
      <c r="M41" s="288">
        <v>174414</v>
      </c>
      <c r="N41" s="299"/>
      <c r="O41" s="235"/>
      <c r="P41" s="290"/>
      <c r="Q41" s="299"/>
      <c r="R41" s="299"/>
      <c r="S41" s="288">
        <v>235406</v>
      </c>
      <c r="T41" s="299"/>
      <c r="U41" s="235"/>
    </row>
    <row r="42" spans="1:21">
      <c r="A42" s="289" t="s">
        <v>544</v>
      </c>
      <c r="B42" s="299"/>
      <c r="C42" s="299"/>
      <c r="D42" s="290"/>
      <c r="E42" s="299"/>
      <c r="F42" s="299"/>
      <c r="G42" s="290"/>
      <c r="H42" s="299"/>
      <c r="I42" s="235"/>
      <c r="J42" s="290"/>
      <c r="K42" s="299"/>
      <c r="L42" s="299"/>
      <c r="M42" s="292" t="s">
        <v>545</v>
      </c>
      <c r="N42" s="299"/>
      <c r="O42" s="235"/>
      <c r="P42" s="290"/>
      <c r="Q42" s="299"/>
      <c r="R42" s="299"/>
      <c r="S42" s="290"/>
      <c r="T42" s="299"/>
      <c r="U42" s="235"/>
    </row>
    <row r="43" spans="1:21">
      <c r="A43" s="289" t="s">
        <v>546</v>
      </c>
      <c r="B43" s="299"/>
      <c r="C43" s="299"/>
      <c r="D43" s="290"/>
      <c r="E43" s="299"/>
      <c r="F43" s="299"/>
      <c r="G43" s="290"/>
      <c r="H43" s="299"/>
      <c r="I43" s="235"/>
      <c r="J43" s="290"/>
      <c r="K43" s="299"/>
      <c r="L43" s="299"/>
      <c r="M43" s="292" t="s">
        <v>547</v>
      </c>
      <c r="N43" s="299"/>
      <c r="O43" s="235"/>
      <c r="P43" s="290"/>
      <c r="Q43" s="299"/>
      <c r="R43" s="299"/>
      <c r="S43" s="290"/>
      <c r="T43" s="299"/>
      <c r="U43" s="235"/>
    </row>
    <row r="44" spans="1:21">
      <c r="A44" s="289" t="s">
        <v>548</v>
      </c>
      <c r="B44" s="299"/>
      <c r="C44" s="299"/>
      <c r="D44" s="290"/>
      <c r="E44" s="299"/>
      <c r="F44" s="299"/>
      <c r="G44" s="292" t="s">
        <v>549</v>
      </c>
      <c r="H44" s="299"/>
      <c r="I44" s="235"/>
      <c r="J44" s="290"/>
      <c r="K44" s="299"/>
      <c r="L44" s="299"/>
      <c r="M44" s="292" t="s">
        <v>550</v>
      </c>
      <c r="N44" s="299"/>
      <c r="O44" s="235"/>
      <c r="P44" s="290"/>
      <c r="Q44" s="299"/>
      <c r="R44" s="299"/>
      <c r="S44" s="291">
        <v>1237311</v>
      </c>
      <c r="T44" s="299"/>
      <c r="U44" s="235"/>
    </row>
    <row r="45" spans="1:21">
      <c r="A45" s="289" t="s">
        <v>551</v>
      </c>
      <c r="B45" s="299"/>
      <c r="C45" s="299"/>
      <c r="D45" s="290"/>
      <c r="E45" s="299"/>
      <c r="F45" s="299"/>
      <c r="G45" s="292" t="s">
        <v>552</v>
      </c>
      <c r="H45" s="299"/>
      <c r="I45" s="235"/>
      <c r="J45" s="290"/>
      <c r="K45" s="299"/>
      <c r="L45" s="299"/>
      <c r="M45" s="292" t="s">
        <v>553</v>
      </c>
      <c r="N45" s="299"/>
      <c r="O45" s="235"/>
      <c r="P45" s="290"/>
      <c r="Q45" s="299"/>
      <c r="R45" s="299"/>
      <c r="S45" s="288">
        <v>36050</v>
      </c>
      <c r="T45" s="299"/>
      <c r="U45" s="235"/>
    </row>
    <row r="46" spans="1:21">
      <c r="A46" s="289" t="s">
        <v>554</v>
      </c>
      <c r="B46" s="299"/>
      <c r="C46" s="299"/>
      <c r="D46" s="290"/>
      <c r="E46" s="299"/>
      <c r="F46" s="299"/>
      <c r="G46" s="292" t="s">
        <v>555</v>
      </c>
      <c r="H46" s="299"/>
      <c r="I46" s="235"/>
      <c r="J46" s="290"/>
      <c r="K46" s="299"/>
      <c r="L46" s="299"/>
      <c r="M46" s="292" t="s">
        <v>556</v>
      </c>
      <c r="N46" s="299"/>
      <c r="O46" s="235"/>
      <c r="P46" s="290"/>
      <c r="Q46" s="299"/>
      <c r="R46" s="299"/>
      <c r="S46" s="291">
        <v>3195084</v>
      </c>
      <c r="T46" s="299"/>
      <c r="U46" s="235"/>
    </row>
    <row r="47" spans="1:21">
      <c r="A47" s="289" t="s">
        <v>557</v>
      </c>
      <c r="B47" s="299"/>
      <c r="C47" s="299"/>
      <c r="D47" s="290"/>
      <c r="E47" s="299"/>
      <c r="F47" s="299"/>
      <c r="G47" s="291">
        <v>6055111</v>
      </c>
      <c r="H47" s="299"/>
      <c r="I47" s="235"/>
      <c r="J47" s="290"/>
      <c r="K47" s="299"/>
      <c r="L47" s="299"/>
      <c r="M47" s="291">
        <v>8238870</v>
      </c>
      <c r="N47" s="299"/>
      <c r="O47" s="235"/>
      <c r="P47" s="290"/>
      <c r="Q47" s="299"/>
      <c r="R47" s="299"/>
      <c r="S47" s="291">
        <v>5043786</v>
      </c>
      <c r="T47" s="299"/>
      <c r="U47" s="235"/>
    </row>
    <row r="48" spans="1:21">
      <c r="A48" s="289" t="s">
        <v>558</v>
      </c>
      <c r="B48" s="299"/>
      <c r="C48" s="299"/>
      <c r="D48" s="290"/>
      <c r="E48" s="299"/>
      <c r="F48" s="299"/>
      <c r="H48" s="236">
        <v>5170582</v>
      </c>
      <c r="I48" s="235"/>
      <c r="J48" s="290"/>
      <c r="K48" s="299"/>
      <c r="L48" s="299"/>
      <c r="N48" s="236">
        <v>6055111</v>
      </c>
      <c r="O48" s="235"/>
      <c r="P48" s="290"/>
      <c r="Q48" s="299"/>
      <c r="R48" s="299"/>
      <c r="T48" s="236">
        <v>8238870</v>
      </c>
      <c r="U48" s="235"/>
    </row>
    <row r="49" spans="1:21">
      <c r="A49" s="289" t="s">
        <v>559</v>
      </c>
      <c r="B49" s="299"/>
      <c r="C49" s="299"/>
      <c r="D49" s="290"/>
      <c r="E49" s="299"/>
      <c r="F49" s="299"/>
      <c r="G49" s="290"/>
      <c r="H49" s="299"/>
      <c r="I49" s="299"/>
      <c r="J49" s="290"/>
      <c r="K49" s="299"/>
      <c r="L49" s="299"/>
      <c r="M49" s="290"/>
      <c r="N49" s="299"/>
      <c r="O49" s="299"/>
      <c r="P49" s="290"/>
      <c r="Q49" s="299"/>
      <c r="R49" s="299"/>
      <c r="S49" s="290"/>
      <c r="T49" s="299"/>
      <c r="U49" s="299"/>
    </row>
    <row r="50" spans="1:21">
      <c r="A50" s="289" t="s">
        <v>560</v>
      </c>
      <c r="B50" s="299"/>
      <c r="C50" s="299"/>
      <c r="D50" s="290"/>
      <c r="E50" s="299"/>
      <c r="F50" s="299"/>
      <c r="H50" s="236">
        <v>811720</v>
      </c>
      <c r="I50" s="235"/>
      <c r="J50" s="290"/>
      <c r="K50" s="299"/>
      <c r="L50" s="299"/>
      <c r="N50" s="236">
        <v>509265</v>
      </c>
      <c r="O50" s="235"/>
      <c r="P50" s="290"/>
      <c r="Q50" s="299"/>
      <c r="R50" s="299"/>
      <c r="T50" s="236">
        <v>291582</v>
      </c>
      <c r="U50" s="235"/>
    </row>
    <row r="51" spans="1:21">
      <c r="A51" s="289" t="s">
        <v>561</v>
      </c>
      <c r="B51" s="299"/>
      <c r="C51" s="299"/>
      <c r="D51" s="290"/>
      <c r="E51" s="299"/>
      <c r="F51" s="299"/>
      <c r="G51" s="288">
        <v>701693</v>
      </c>
      <c r="H51" s="299"/>
      <c r="I51" s="235"/>
      <c r="J51" s="290"/>
      <c r="K51" s="299"/>
      <c r="L51" s="299"/>
      <c r="M51" s="288">
        <v>763432</v>
      </c>
      <c r="N51" s="299"/>
      <c r="O51" s="235"/>
      <c r="P51" s="290"/>
      <c r="Q51" s="299"/>
      <c r="R51" s="299"/>
      <c r="S51" s="288">
        <v>762904</v>
      </c>
      <c r="T51" s="299"/>
      <c r="U51" s="235"/>
    </row>
  </sheetData>
  <mergeCells count="275">
    <mergeCell ref="S11:U11"/>
    <mergeCell ref="A12:C12"/>
    <mergeCell ref="D12:F12"/>
    <mergeCell ref="G12:I12"/>
    <mergeCell ref="J12:L12"/>
    <mergeCell ref="M12:O12"/>
    <mergeCell ref="P12:R12"/>
    <mergeCell ref="S12:U12"/>
    <mergeCell ref="A6:F6"/>
    <mergeCell ref="A10:C10"/>
    <mergeCell ref="D10:F10"/>
    <mergeCell ref="G10:U10"/>
    <mergeCell ref="A11:C11"/>
    <mergeCell ref="D11:F11"/>
    <mergeCell ref="G11:I11"/>
    <mergeCell ref="J11:L11"/>
    <mergeCell ref="M11:O11"/>
    <mergeCell ref="P11:R11"/>
    <mergeCell ref="S14:U14"/>
    <mergeCell ref="A15:C15"/>
    <mergeCell ref="D15:F15"/>
    <mergeCell ref="G15:H15"/>
    <mergeCell ref="J15:L15"/>
    <mergeCell ref="M15:N15"/>
    <mergeCell ref="P15:R15"/>
    <mergeCell ref="S15:T15"/>
    <mergeCell ref="A13:C13"/>
    <mergeCell ref="D13:F13"/>
    <mergeCell ref="J13:L13"/>
    <mergeCell ref="P13:R13"/>
    <mergeCell ref="A14:C14"/>
    <mergeCell ref="D14:F14"/>
    <mergeCell ref="G14:I14"/>
    <mergeCell ref="J14:L14"/>
    <mergeCell ref="M14:O14"/>
    <mergeCell ref="P14:R14"/>
    <mergeCell ref="S16:T16"/>
    <mergeCell ref="A17:C17"/>
    <mergeCell ref="D17:F17"/>
    <mergeCell ref="G17:H17"/>
    <mergeCell ref="J17:L17"/>
    <mergeCell ref="M17:N17"/>
    <mergeCell ref="P17:R17"/>
    <mergeCell ref="S17:T17"/>
    <mergeCell ref="A16:C16"/>
    <mergeCell ref="D16:F16"/>
    <mergeCell ref="G16:H16"/>
    <mergeCell ref="J16:L16"/>
    <mergeCell ref="M16:N16"/>
    <mergeCell ref="P16:R16"/>
    <mergeCell ref="S18:T18"/>
    <mergeCell ref="A19:C19"/>
    <mergeCell ref="D19:F19"/>
    <mergeCell ref="G19:H19"/>
    <mergeCell ref="J19:L19"/>
    <mergeCell ref="M19:N19"/>
    <mergeCell ref="P19:R19"/>
    <mergeCell ref="S19:T19"/>
    <mergeCell ref="A18:C18"/>
    <mergeCell ref="D18:F18"/>
    <mergeCell ref="G18:H18"/>
    <mergeCell ref="J18:L18"/>
    <mergeCell ref="M18:N18"/>
    <mergeCell ref="P18:R18"/>
    <mergeCell ref="S20:T20"/>
    <mergeCell ref="A21:C21"/>
    <mergeCell ref="D21:F21"/>
    <mergeCell ref="G21:H21"/>
    <mergeCell ref="J21:L21"/>
    <mergeCell ref="M21:N21"/>
    <mergeCell ref="P21:R21"/>
    <mergeCell ref="S21:T21"/>
    <mergeCell ref="A20:C20"/>
    <mergeCell ref="D20:F20"/>
    <mergeCell ref="G20:H20"/>
    <mergeCell ref="J20:L20"/>
    <mergeCell ref="M20:N20"/>
    <mergeCell ref="P20:R20"/>
    <mergeCell ref="S22:T22"/>
    <mergeCell ref="A23:C23"/>
    <mergeCell ref="D23:F23"/>
    <mergeCell ref="G23:I23"/>
    <mergeCell ref="J23:L23"/>
    <mergeCell ref="M23:O23"/>
    <mergeCell ref="P23:R23"/>
    <mergeCell ref="S23:U23"/>
    <mergeCell ref="A22:C22"/>
    <mergeCell ref="D22:F22"/>
    <mergeCell ref="G22:H22"/>
    <mergeCell ref="J22:L22"/>
    <mergeCell ref="M22:N22"/>
    <mergeCell ref="P22:R22"/>
    <mergeCell ref="S24:T24"/>
    <mergeCell ref="A25:C25"/>
    <mergeCell ref="D25:F25"/>
    <mergeCell ref="G25:H25"/>
    <mergeCell ref="J25:L25"/>
    <mergeCell ref="M25:N25"/>
    <mergeCell ref="P25:R25"/>
    <mergeCell ref="S25:T25"/>
    <mergeCell ref="A24:C24"/>
    <mergeCell ref="D24:F24"/>
    <mergeCell ref="G24:H24"/>
    <mergeCell ref="J24:L24"/>
    <mergeCell ref="M24:N24"/>
    <mergeCell ref="P24:R24"/>
    <mergeCell ref="S26:T26"/>
    <mergeCell ref="A27:C27"/>
    <mergeCell ref="D27:F27"/>
    <mergeCell ref="G27:H27"/>
    <mergeCell ref="J27:L27"/>
    <mergeCell ref="M27:N27"/>
    <mergeCell ref="P27:R27"/>
    <mergeCell ref="S27:T27"/>
    <mergeCell ref="A26:C26"/>
    <mergeCell ref="D26:F26"/>
    <mergeCell ref="G26:H26"/>
    <mergeCell ref="J26:L26"/>
    <mergeCell ref="M26:N26"/>
    <mergeCell ref="P26:R26"/>
    <mergeCell ref="S28:T28"/>
    <mergeCell ref="A29:C29"/>
    <mergeCell ref="D29:F29"/>
    <mergeCell ref="G29:H29"/>
    <mergeCell ref="J29:L29"/>
    <mergeCell ref="M29:N29"/>
    <mergeCell ref="P29:R29"/>
    <mergeCell ref="S29:T29"/>
    <mergeCell ref="A28:C28"/>
    <mergeCell ref="D28:F28"/>
    <mergeCell ref="G28:H28"/>
    <mergeCell ref="J28:L28"/>
    <mergeCell ref="M28:N28"/>
    <mergeCell ref="P28:R28"/>
    <mergeCell ref="S30:U30"/>
    <mergeCell ref="A31:C31"/>
    <mergeCell ref="D31:F31"/>
    <mergeCell ref="G31:H31"/>
    <mergeCell ref="J31:L31"/>
    <mergeCell ref="M31:N31"/>
    <mergeCell ref="P31:R31"/>
    <mergeCell ref="S31:T31"/>
    <mergeCell ref="A30:C30"/>
    <mergeCell ref="D30:F30"/>
    <mergeCell ref="G30:I30"/>
    <mergeCell ref="J30:L30"/>
    <mergeCell ref="M30:O30"/>
    <mergeCell ref="P30:R30"/>
    <mergeCell ref="S32:T32"/>
    <mergeCell ref="A33:C33"/>
    <mergeCell ref="D33:F33"/>
    <mergeCell ref="G33:H33"/>
    <mergeCell ref="J33:L33"/>
    <mergeCell ref="M33:N33"/>
    <mergeCell ref="P33:R33"/>
    <mergeCell ref="S33:T33"/>
    <mergeCell ref="A32:C32"/>
    <mergeCell ref="D32:F32"/>
    <mergeCell ref="G32:H32"/>
    <mergeCell ref="J32:L32"/>
    <mergeCell ref="M32:N32"/>
    <mergeCell ref="P32:R32"/>
    <mergeCell ref="S34:T34"/>
    <mergeCell ref="A36:C36"/>
    <mergeCell ref="D36:F36"/>
    <mergeCell ref="G36:H36"/>
    <mergeCell ref="J36:L36"/>
    <mergeCell ref="M36:N36"/>
    <mergeCell ref="P36:R36"/>
    <mergeCell ref="S36:T36"/>
    <mergeCell ref="A34:C34"/>
    <mergeCell ref="D34:F34"/>
    <mergeCell ref="G34:H34"/>
    <mergeCell ref="J34:L34"/>
    <mergeCell ref="M34:N34"/>
    <mergeCell ref="P34:R34"/>
    <mergeCell ref="S37:U37"/>
    <mergeCell ref="A38:C38"/>
    <mergeCell ref="D38:F38"/>
    <mergeCell ref="G38:H38"/>
    <mergeCell ref="J38:L38"/>
    <mergeCell ref="M38:N38"/>
    <mergeCell ref="P38:R38"/>
    <mergeCell ref="S38:T38"/>
    <mergeCell ref="A37:C37"/>
    <mergeCell ref="D37:F37"/>
    <mergeCell ref="G37:I37"/>
    <mergeCell ref="J37:L37"/>
    <mergeCell ref="M37:O37"/>
    <mergeCell ref="P37:R37"/>
    <mergeCell ref="S39:T39"/>
    <mergeCell ref="A40:C40"/>
    <mergeCell ref="D40:F40"/>
    <mergeCell ref="G40:H40"/>
    <mergeCell ref="J40:L40"/>
    <mergeCell ref="M40:N40"/>
    <mergeCell ref="P40:R40"/>
    <mergeCell ref="S40:T40"/>
    <mergeCell ref="A39:C39"/>
    <mergeCell ref="D39:F39"/>
    <mergeCell ref="G39:H39"/>
    <mergeCell ref="J39:L39"/>
    <mergeCell ref="M39:N39"/>
    <mergeCell ref="P39:R39"/>
    <mergeCell ref="S41:T41"/>
    <mergeCell ref="A42:C42"/>
    <mergeCell ref="D42:F42"/>
    <mergeCell ref="G42:H42"/>
    <mergeCell ref="J42:L42"/>
    <mergeCell ref="M42:N42"/>
    <mergeCell ref="P42:R42"/>
    <mergeCell ref="S42:T42"/>
    <mergeCell ref="A41:C41"/>
    <mergeCell ref="D41:F41"/>
    <mergeCell ref="G41:H41"/>
    <mergeCell ref="J41:L41"/>
    <mergeCell ref="M41:N41"/>
    <mergeCell ref="P41:R41"/>
    <mergeCell ref="S43:T43"/>
    <mergeCell ref="A44:C44"/>
    <mergeCell ref="D44:F44"/>
    <mergeCell ref="G44:H44"/>
    <mergeCell ref="J44:L44"/>
    <mergeCell ref="M44:N44"/>
    <mergeCell ref="P44:R44"/>
    <mergeCell ref="S44:T44"/>
    <mergeCell ref="A43:C43"/>
    <mergeCell ref="D43:F43"/>
    <mergeCell ref="G43:H43"/>
    <mergeCell ref="J43:L43"/>
    <mergeCell ref="M43:N43"/>
    <mergeCell ref="P43:R43"/>
    <mergeCell ref="S45:T45"/>
    <mergeCell ref="A46:C46"/>
    <mergeCell ref="D46:F46"/>
    <mergeCell ref="G46:H46"/>
    <mergeCell ref="J46:L46"/>
    <mergeCell ref="M46:N46"/>
    <mergeCell ref="P46:R46"/>
    <mergeCell ref="S46:T46"/>
    <mergeCell ref="A45:C45"/>
    <mergeCell ref="D45:F45"/>
    <mergeCell ref="G45:H45"/>
    <mergeCell ref="J45:L45"/>
    <mergeCell ref="M45:N45"/>
    <mergeCell ref="P45:R45"/>
    <mergeCell ref="S47:T47"/>
    <mergeCell ref="A48:C48"/>
    <mergeCell ref="D48:F48"/>
    <mergeCell ref="J48:L48"/>
    <mergeCell ref="P48:R48"/>
    <mergeCell ref="A49:C49"/>
    <mergeCell ref="D49:F49"/>
    <mergeCell ref="G49:I49"/>
    <mergeCell ref="J49:L49"/>
    <mergeCell ref="M49:O49"/>
    <mergeCell ref="A47:C47"/>
    <mergeCell ref="D47:F47"/>
    <mergeCell ref="G47:H47"/>
    <mergeCell ref="J47:L47"/>
    <mergeCell ref="M47:N47"/>
    <mergeCell ref="P47:R47"/>
    <mergeCell ref="S51:T51"/>
    <mergeCell ref="A51:C51"/>
    <mergeCell ref="D51:F51"/>
    <mergeCell ref="G51:H51"/>
    <mergeCell ref="J51:L51"/>
    <mergeCell ref="M51:N51"/>
    <mergeCell ref="P51:R51"/>
    <mergeCell ref="P49:R49"/>
    <mergeCell ref="S49:U49"/>
    <mergeCell ref="A50:C50"/>
    <mergeCell ref="D50:F50"/>
    <mergeCell ref="J50:L50"/>
    <mergeCell ref="P50:R50"/>
  </mergeCells>
  <pageMargins left="0.2" right="0.2" top="0.5" bottom="0.5" header="0.5" footer="0.5"/>
  <pageSetup fitToWidth="0" fitToHeight="0" orientation="landscape" horizontalDpi="0" verticalDpi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89D0-F6B7-4D47-896A-D77F3A7FC8DE}">
  <sheetPr>
    <outlinePr summaryBelow="0" summaryRight="0"/>
    <pageSetUpPr autoPageBreaks="0"/>
  </sheetPr>
  <dimension ref="A1:M19"/>
  <sheetViews>
    <sheetView workbookViewId="0">
      <selection activeCell="L21" sqref="L21"/>
    </sheetView>
  </sheetViews>
  <sheetFormatPr defaultColWidth="12" defaultRowHeight="11.25"/>
  <cols>
    <col min="1" max="1" width="12" style="171" customWidth="1"/>
    <col min="2" max="16384" width="12" style="171"/>
  </cols>
  <sheetData>
    <row r="1" spans="1:13">
      <c r="A1" s="234" t="s">
        <v>480</v>
      </c>
      <c r="B1" s="234"/>
      <c r="C1" s="234"/>
      <c r="D1" s="234"/>
      <c r="E1" s="234"/>
    </row>
    <row r="2" spans="1:13">
      <c r="A2" s="234" t="s">
        <v>481</v>
      </c>
      <c r="B2" s="234"/>
      <c r="C2" s="234"/>
      <c r="D2" s="234"/>
      <c r="E2" s="234"/>
    </row>
    <row r="3" spans="1:13">
      <c r="A3" s="234" t="s">
        <v>482</v>
      </c>
      <c r="B3" s="234"/>
      <c r="C3" s="234"/>
      <c r="D3" s="234"/>
      <c r="E3" s="234"/>
    </row>
    <row r="4" spans="1:13">
      <c r="A4" s="234"/>
      <c r="B4" s="234"/>
      <c r="C4" s="234"/>
      <c r="D4" s="234"/>
      <c r="E4" s="234"/>
    </row>
    <row r="6" spans="1:13">
      <c r="A6" s="235"/>
      <c r="B6" s="235"/>
      <c r="C6" s="235"/>
      <c r="D6" s="235"/>
      <c r="E6" s="235"/>
      <c r="F6" s="235"/>
    </row>
    <row r="7" spans="1:13">
      <c r="A7" s="289" t="s">
        <v>562</v>
      </c>
      <c r="B7" s="299"/>
      <c r="C7" s="299"/>
      <c r="D7" s="299"/>
      <c r="E7" s="299"/>
      <c r="F7" s="299"/>
    </row>
    <row r="8" spans="1:13">
      <c r="A8" s="291">
        <v>2023</v>
      </c>
      <c r="B8" s="299"/>
      <c r="C8" s="299"/>
      <c r="E8" s="236">
        <v>433167</v>
      </c>
      <c r="F8" s="235"/>
      <c r="G8" s="291">
        <v>2023</v>
      </c>
      <c r="H8" s="299"/>
      <c r="I8" s="299"/>
      <c r="K8" s="236">
        <v>433167</v>
      </c>
      <c r="L8" s="243">
        <f>K8/(1+0.032)^M8</f>
        <v>419735.46511627908</v>
      </c>
      <c r="M8" s="171">
        <v>1</v>
      </c>
    </row>
    <row r="9" spans="1:13">
      <c r="A9" s="291">
        <v>2024</v>
      </c>
      <c r="B9" s="299"/>
      <c r="C9" s="299"/>
      <c r="D9" s="288">
        <v>406293</v>
      </c>
      <c r="E9" s="299"/>
      <c r="F9" s="235"/>
      <c r="G9" s="291">
        <v>2024</v>
      </c>
      <c r="H9" s="299"/>
      <c r="I9" s="299"/>
      <c r="K9" s="244">
        <v>406293</v>
      </c>
      <c r="L9" s="243">
        <f t="shared" ref="L9:L16" si="0">K9/(1+0.032)^M9</f>
        <v>381487.17775374075</v>
      </c>
      <c r="M9" s="171">
        <v>2</v>
      </c>
    </row>
    <row r="10" spans="1:13">
      <c r="A10" s="291">
        <v>2025</v>
      </c>
      <c r="B10" s="299"/>
      <c r="C10" s="299"/>
      <c r="D10" s="288">
        <v>377371</v>
      </c>
      <c r="E10" s="299"/>
      <c r="F10" s="235"/>
      <c r="G10" s="291">
        <v>2025</v>
      </c>
      <c r="H10" s="299"/>
      <c r="I10" s="299"/>
      <c r="K10" s="244">
        <v>377371</v>
      </c>
      <c r="L10" s="243">
        <f t="shared" si="0"/>
        <v>343343.97501221654</v>
      </c>
      <c r="M10" s="171">
        <v>3</v>
      </c>
    </row>
    <row r="11" spans="1:13">
      <c r="A11" s="291">
        <v>2026</v>
      </c>
      <c r="B11" s="299"/>
      <c r="C11" s="299"/>
      <c r="D11" s="288">
        <v>368496</v>
      </c>
      <c r="E11" s="299"/>
      <c r="F11" s="235"/>
      <c r="G11" s="291">
        <v>2026</v>
      </c>
      <c r="H11" s="299"/>
      <c r="I11" s="299"/>
      <c r="K11" s="244">
        <v>368496</v>
      </c>
      <c r="L11" s="243">
        <f t="shared" si="0"/>
        <v>324873.27672284329</v>
      </c>
      <c r="M11" s="171">
        <v>4</v>
      </c>
    </row>
    <row r="12" spans="1:13">
      <c r="A12" s="291">
        <v>2027</v>
      </c>
      <c r="B12" s="299"/>
      <c r="C12" s="299"/>
      <c r="D12" s="288">
        <v>310903</v>
      </c>
      <c r="E12" s="299"/>
      <c r="F12" s="235"/>
      <c r="G12" s="291">
        <v>2027</v>
      </c>
      <c r="H12" s="299"/>
      <c r="I12" s="299"/>
      <c r="K12" s="244">
        <v>310903</v>
      </c>
      <c r="L12" s="243">
        <f t="shared" si="0"/>
        <v>265598.99431387108</v>
      </c>
      <c r="M12" s="171">
        <v>5</v>
      </c>
    </row>
    <row r="13" spans="1:13">
      <c r="A13" s="289" t="s">
        <v>563</v>
      </c>
      <c r="B13" s="299"/>
      <c r="C13" s="299"/>
      <c r="D13" s="291">
        <v>1036327</v>
      </c>
      <c r="E13" s="299"/>
      <c r="F13" s="235"/>
      <c r="G13" s="171">
        <f>D13/D12</f>
        <v>3.3332807981910757</v>
      </c>
      <c r="H13" s="244">
        <f>$D$12</f>
        <v>310903</v>
      </c>
      <c r="I13" s="171">
        <v>2028</v>
      </c>
      <c r="K13" s="171">
        <v>310903</v>
      </c>
      <c r="L13" s="243">
        <f t="shared" si="0"/>
        <v>257363.36658320847</v>
      </c>
      <c r="M13" s="171">
        <v>6</v>
      </c>
    </row>
    <row r="14" spans="1:13">
      <c r="A14" s="290"/>
      <c r="B14" s="299"/>
      <c r="C14" s="299"/>
      <c r="D14" s="291">
        <v>2932557</v>
      </c>
      <c r="E14" s="299"/>
      <c r="F14" s="235"/>
      <c r="H14" s="244">
        <f t="shared" ref="H14:H15" si="1">$D$12</f>
        <v>310903</v>
      </c>
      <c r="I14" s="171">
        <v>2029</v>
      </c>
      <c r="K14" s="171">
        <v>310903</v>
      </c>
      <c r="L14" s="243">
        <f t="shared" si="0"/>
        <v>249383.1071542718</v>
      </c>
      <c r="M14" s="171">
        <v>7</v>
      </c>
    </row>
    <row r="15" spans="1:13">
      <c r="A15" s="289" t="s">
        <v>564</v>
      </c>
      <c r="B15" s="299"/>
      <c r="C15" s="299"/>
      <c r="D15" s="292" t="s">
        <v>565</v>
      </c>
      <c r="E15" s="299"/>
      <c r="F15" s="235"/>
      <c r="H15" s="244">
        <f t="shared" si="1"/>
        <v>310903</v>
      </c>
      <c r="I15" s="171">
        <v>2030</v>
      </c>
      <c r="K15" s="171">
        <v>310903</v>
      </c>
      <c r="L15" s="243">
        <f t="shared" si="0"/>
        <v>241650.29763010831</v>
      </c>
      <c r="M15" s="171">
        <v>8</v>
      </c>
    </row>
    <row r="16" spans="1:13" ht="12" thickBot="1">
      <c r="A16" s="289" t="s">
        <v>566</v>
      </c>
      <c r="B16" s="299"/>
      <c r="C16" s="299"/>
      <c r="D16" s="297">
        <v>2578488</v>
      </c>
      <c r="E16" s="300"/>
      <c r="F16" s="245"/>
      <c r="H16" s="171">
        <f>D12*(G13-3)</f>
        <v>103618.00000000001</v>
      </c>
      <c r="I16" s="171">
        <v>2031</v>
      </c>
      <c r="K16" s="171">
        <v>103618.00000000001</v>
      </c>
      <c r="L16" s="243">
        <f t="shared" si="0"/>
        <v>78040.120229916181</v>
      </c>
      <c r="M16" s="171">
        <v>9</v>
      </c>
    </row>
    <row r="17" spans="5:12">
      <c r="H17" s="243">
        <f>E8+D9+D10+D11+D12+H13+H14+H15+H16</f>
        <v>2932557</v>
      </c>
    </row>
    <row r="18" spans="5:12">
      <c r="E18" s="246">
        <f>D15/H17</f>
        <v>-0.12073729513185932</v>
      </c>
      <c r="L18" s="243">
        <f>SUM(L8:L16)</f>
        <v>2561475.7805164559</v>
      </c>
    </row>
    <row r="19" spans="5:12">
      <c r="L19" s="243">
        <f>L18/1000</f>
        <v>2561.4757805164559</v>
      </c>
    </row>
  </sheetData>
  <mergeCells count="23">
    <mergeCell ref="A7:F7"/>
    <mergeCell ref="A8:C8"/>
    <mergeCell ref="G8:I8"/>
    <mergeCell ref="A9:C9"/>
    <mergeCell ref="D9:E9"/>
    <mergeCell ref="G9:I9"/>
    <mergeCell ref="A10:C10"/>
    <mergeCell ref="D10:E10"/>
    <mergeCell ref="G10:I10"/>
    <mergeCell ref="A11:C11"/>
    <mergeCell ref="D11:E11"/>
    <mergeCell ref="G11:I11"/>
    <mergeCell ref="G12:I12"/>
    <mergeCell ref="A13:C13"/>
    <mergeCell ref="D13:E13"/>
    <mergeCell ref="A14:C14"/>
    <mergeCell ref="D14:E14"/>
    <mergeCell ref="A15:C15"/>
    <mergeCell ref="D15:E15"/>
    <mergeCell ref="A16:C16"/>
    <mergeCell ref="D16:E16"/>
    <mergeCell ref="A12:C12"/>
    <mergeCell ref="D12:E12"/>
  </mergeCells>
  <pageMargins left="0.2" right="0.2" top="0.5" bottom="0.5" header="0.5" footer="0.5"/>
  <pageSetup fitToWidth="0" fitToHeight="0" orientation="landscape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showGridLines="0" zoomScale="75" zoomScaleNormal="75" zoomScaleSheetLayoutView="75" zoomScalePageLayoutView="75" workbookViewId="0">
      <selection activeCell="I19" sqref="I19"/>
    </sheetView>
  </sheetViews>
  <sheetFormatPr defaultColWidth="8" defaultRowHeight="12.75" outlineLevelRow="1"/>
  <cols>
    <col min="1" max="1" width="1.7109375" style="1" customWidth="1"/>
    <col min="2" max="2" width="18.140625" style="1" customWidth="1"/>
    <col min="3" max="3" width="12.42578125" style="1" customWidth="1"/>
    <col min="4" max="4" width="13.42578125" style="1" customWidth="1"/>
    <col min="5" max="5" width="9.42578125" style="1" bestFit="1" customWidth="1"/>
    <col min="6" max="6" width="9.140625" style="1" bestFit="1" customWidth="1"/>
    <col min="7" max="7" width="2.85546875" style="1" customWidth="1"/>
    <col min="8" max="8" width="11.42578125" style="1" customWidth="1"/>
    <col min="9" max="9" width="2.42578125" style="1" customWidth="1"/>
    <col min="10" max="10" width="13.140625" style="1" bestFit="1" customWidth="1"/>
    <col min="11" max="11" width="2.42578125" style="1" customWidth="1"/>
    <col min="12" max="12" width="9.28515625" style="1" customWidth="1"/>
    <col min="13" max="13" width="10.5703125" style="1" bestFit="1" customWidth="1"/>
    <col min="14" max="14" width="7.42578125" style="1" customWidth="1"/>
    <col min="15" max="15" width="6.42578125" style="1" bestFit="1" customWidth="1"/>
    <col min="16" max="16" width="7.42578125" style="1" customWidth="1"/>
    <col min="17" max="17" width="2.42578125" style="1" customWidth="1"/>
    <col min="18" max="18" width="7.42578125" style="1" customWidth="1"/>
    <col min="19" max="19" width="2.42578125" style="1" customWidth="1"/>
    <col min="20" max="20" width="7.42578125" style="1" customWidth="1"/>
    <col min="21" max="21" width="2.42578125" style="1" customWidth="1"/>
    <col min="22" max="16384" width="8" style="1"/>
  </cols>
  <sheetData>
    <row r="1" spans="1:22" ht="15.75">
      <c r="A1" s="102"/>
      <c r="B1" s="103" t="s">
        <v>50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22" ht="4.3499999999999996" customHeight="1" thickBot="1">
      <c r="A2" s="104"/>
      <c r="B2" s="105"/>
      <c r="C2" s="106"/>
      <c r="D2" s="106"/>
      <c r="E2" s="106"/>
      <c r="F2" s="106"/>
      <c r="G2" s="106"/>
      <c r="H2" s="106"/>
      <c r="I2" s="106"/>
      <c r="J2" s="106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22" ht="6" customHeight="1">
      <c r="A3" s="104"/>
      <c r="B3" s="104"/>
      <c r="C3" s="104"/>
      <c r="D3" s="104"/>
      <c r="E3" s="104"/>
      <c r="F3" s="104"/>
      <c r="G3" s="104"/>
      <c r="H3" s="104"/>
      <c r="I3" s="104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</row>
    <row r="4" spans="1:22" ht="15.75">
      <c r="A4" s="104"/>
      <c r="B4" s="104"/>
      <c r="C4" s="104"/>
      <c r="D4" s="104"/>
      <c r="E4" s="104"/>
      <c r="F4" s="104"/>
      <c r="G4" s="104"/>
      <c r="H4" s="18" t="s">
        <v>51</v>
      </c>
      <c r="I4" s="107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</row>
    <row r="5" spans="1:22" ht="15.75">
      <c r="A5" s="104"/>
      <c r="B5" s="104" t="s">
        <v>52</v>
      </c>
      <c r="C5" s="104"/>
      <c r="D5" s="104"/>
      <c r="E5" s="104"/>
      <c r="F5" s="104"/>
      <c r="G5" s="104"/>
      <c r="H5" s="108"/>
      <c r="I5" s="108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</row>
    <row r="6" spans="1:22" ht="15.75">
      <c r="A6" s="104"/>
      <c r="B6" s="104"/>
      <c r="C6" s="104" t="s">
        <v>53</v>
      </c>
      <c r="D6" s="104"/>
      <c r="E6" s="104"/>
      <c r="F6" s="104"/>
      <c r="G6" s="104"/>
      <c r="H6" s="147">
        <f>'Netflix Bonds'!G39</f>
        <v>3.1300000000000001E-2</v>
      </c>
      <c r="I6" s="109"/>
      <c r="J6" s="169"/>
      <c r="K6" s="102"/>
      <c r="L6" s="102"/>
      <c r="M6" s="169"/>
      <c r="N6" s="102"/>
      <c r="O6" s="102"/>
      <c r="P6" s="102"/>
      <c r="Q6" s="102"/>
      <c r="R6" s="102"/>
      <c r="S6" s="102"/>
      <c r="T6" s="102"/>
      <c r="U6" s="102"/>
      <c r="V6" s="102"/>
    </row>
    <row r="7" spans="1:22" ht="15.75">
      <c r="A7" s="104"/>
      <c r="B7" s="104"/>
      <c r="C7" s="104" t="s">
        <v>54</v>
      </c>
      <c r="D7" s="104"/>
      <c r="E7" s="104"/>
      <c r="F7" s="104"/>
      <c r="G7" s="104"/>
      <c r="H7" s="111">
        <v>0.21</v>
      </c>
      <c r="I7" s="110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</row>
    <row r="8" spans="1:22" ht="6" customHeight="1">
      <c r="A8" s="104"/>
      <c r="B8" s="104"/>
      <c r="C8" s="104"/>
      <c r="D8" s="104"/>
      <c r="E8" s="104"/>
      <c r="F8" s="104"/>
      <c r="G8" s="104"/>
      <c r="H8" s="110"/>
      <c r="I8" s="110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</row>
    <row r="9" spans="1:22" ht="15.75">
      <c r="A9" s="104"/>
      <c r="B9" s="104"/>
      <c r="C9" s="104"/>
      <c r="D9" s="104" t="str">
        <f>"Rd =  "&amp;FIXED(H6*100,1)&amp;"% * (1- "&amp;FIXED(H7*100,1)&amp;"%) ="</f>
        <v>Rd =  3.1% * (1- 21.0%) =</v>
      </c>
      <c r="E9" s="104"/>
      <c r="F9" s="104"/>
      <c r="G9" s="104"/>
      <c r="H9" s="111">
        <f>H6*(1-H7)</f>
        <v>2.4727000000000002E-2</v>
      </c>
      <c r="I9" s="110"/>
      <c r="J9" s="104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</row>
    <row r="10" spans="1:22" ht="6" customHeight="1">
      <c r="A10" s="104"/>
      <c r="B10" s="104"/>
      <c r="C10" s="104"/>
      <c r="D10" s="104"/>
      <c r="E10" s="104"/>
      <c r="F10" s="104"/>
      <c r="G10" s="104"/>
      <c r="H10" s="110"/>
      <c r="I10" s="110"/>
      <c r="J10" s="104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</row>
    <row r="11" spans="1:22" ht="15.75">
      <c r="A11" s="104"/>
      <c r="B11" s="104" t="s">
        <v>55</v>
      </c>
      <c r="C11" s="104"/>
      <c r="D11" s="104"/>
      <c r="E11" s="104"/>
      <c r="F11" s="104"/>
      <c r="G11" s="104"/>
      <c r="H11" s="110"/>
      <c r="I11" s="110"/>
      <c r="J11" s="104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</row>
    <row r="12" spans="1:22" ht="15.75">
      <c r="A12" s="104"/>
      <c r="B12" s="104"/>
      <c r="C12" s="104" t="s">
        <v>56</v>
      </c>
      <c r="D12" s="104"/>
      <c r="E12" s="104"/>
      <c r="F12" s="104"/>
      <c r="G12" s="104"/>
      <c r="H12" s="147">
        <v>3.5200000000000002E-2</v>
      </c>
      <c r="I12" s="110"/>
      <c r="J12" s="119"/>
      <c r="K12" s="102"/>
      <c r="L12" s="102"/>
      <c r="M12" s="169"/>
      <c r="N12" s="102"/>
      <c r="O12" s="102"/>
      <c r="P12" s="102"/>
      <c r="Q12" s="102"/>
      <c r="R12" s="102"/>
      <c r="S12" s="102"/>
      <c r="T12" s="102"/>
      <c r="U12" s="102"/>
      <c r="V12" s="102"/>
    </row>
    <row r="13" spans="1:22" ht="15.75">
      <c r="A13" s="104"/>
      <c r="B13" s="104"/>
      <c r="C13" s="104" t="s">
        <v>57</v>
      </c>
      <c r="D13" s="104"/>
      <c r="E13" s="104"/>
      <c r="F13" s="104"/>
      <c r="G13" s="104"/>
      <c r="H13" s="148">
        <v>1.32</v>
      </c>
      <c r="I13" s="110"/>
      <c r="J13" s="104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</row>
    <row r="14" spans="1:22" ht="15.75">
      <c r="A14" s="104"/>
      <c r="B14" s="104"/>
      <c r="C14" s="104" t="s">
        <v>58</v>
      </c>
      <c r="D14" s="104"/>
      <c r="E14" s="104"/>
      <c r="F14" s="104"/>
      <c r="G14" s="104"/>
      <c r="H14" s="147">
        <v>0.06</v>
      </c>
      <c r="I14" s="110"/>
      <c r="J14" s="104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</row>
    <row r="15" spans="1:22" ht="4.5" customHeight="1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</row>
    <row r="16" spans="1:22" ht="15.75">
      <c r="B16" s="104"/>
      <c r="C16" s="104"/>
      <c r="D16" s="104" t="str">
        <f>+"Re =  "&amp;FIXED(H12*100,1)&amp;"% + "&amp;FIXED(H13*1,2)&amp;" * "&amp;FIXED(H14*100,1)&amp;"% ="</f>
        <v>Re =  3.5% + 1.32 * 6.0% =</v>
      </c>
      <c r="E16" s="104"/>
      <c r="F16" s="104"/>
      <c r="G16" s="104"/>
      <c r="H16" s="112">
        <f>H12+(H13*H14)</f>
        <v>0.1144</v>
      </c>
      <c r="I16" s="104"/>
      <c r="J16" s="104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</row>
    <row r="17" spans="2:22" ht="4.5" customHeight="1">
      <c r="B17" s="104"/>
      <c r="C17" s="104"/>
      <c r="D17" s="104"/>
      <c r="E17" s="104"/>
      <c r="F17" s="104"/>
      <c r="G17" s="104"/>
      <c r="H17" s="104"/>
      <c r="I17" s="104"/>
      <c r="J17" s="104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2:22" ht="15.75">
      <c r="B18" s="104" t="s">
        <v>59</v>
      </c>
      <c r="C18" s="104"/>
      <c r="D18" s="104"/>
      <c r="E18" s="104"/>
      <c r="F18" s="104"/>
      <c r="G18" s="104"/>
      <c r="H18" s="104"/>
      <c r="I18" s="104"/>
      <c r="J18" s="104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</row>
    <row r="19" spans="2:22" ht="15.75">
      <c r="B19" s="104"/>
      <c r="C19" s="104" t="s">
        <v>60</v>
      </c>
      <c r="D19" s="104"/>
      <c r="E19" s="104"/>
      <c r="F19" s="104"/>
      <c r="G19" s="104"/>
      <c r="H19" s="112">
        <v>0.33</v>
      </c>
      <c r="I19" s="104"/>
      <c r="J19" s="104"/>
      <c r="K19" s="102"/>
      <c r="L19" s="102"/>
      <c r="M19" s="102"/>
      <c r="N19" s="102"/>
      <c r="O19" s="167"/>
      <c r="P19" s="102"/>
      <c r="Q19" s="102"/>
      <c r="R19" s="102"/>
      <c r="S19" s="102"/>
      <c r="T19" s="102"/>
      <c r="U19" s="102"/>
      <c r="V19" s="102"/>
    </row>
    <row r="20" spans="2:22" ht="15.75">
      <c r="B20" s="104"/>
      <c r="C20" s="104" t="s">
        <v>61</v>
      </c>
      <c r="D20" s="104"/>
      <c r="E20" s="104"/>
      <c r="F20" s="104"/>
      <c r="G20" s="104"/>
      <c r="H20" s="112">
        <f>1-H19</f>
        <v>0.66999999999999993</v>
      </c>
      <c r="I20" s="104"/>
      <c r="J20" s="104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</row>
    <row r="21" spans="2:22" ht="6" customHeight="1">
      <c r="B21" s="104"/>
      <c r="C21" s="104"/>
      <c r="D21" s="104"/>
      <c r="E21" s="104"/>
      <c r="F21" s="104"/>
      <c r="G21" s="104"/>
      <c r="H21" s="104"/>
      <c r="I21" s="104"/>
      <c r="J21" s="104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</row>
    <row r="22" spans="2:22" ht="15.75">
      <c r="B22" s="104"/>
      <c r="C22" s="104"/>
      <c r="D22" s="104"/>
      <c r="E22" s="104"/>
      <c r="F22" s="104"/>
      <c r="G22" s="104"/>
      <c r="H22" s="144">
        <f>(H9*H19)+(H16*H20)</f>
        <v>8.480791E-2</v>
      </c>
      <c r="I22" s="142"/>
      <c r="J22" s="104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</row>
    <row r="23" spans="2:22" ht="6.75" customHeight="1">
      <c r="B23" s="104"/>
      <c r="C23" s="104"/>
      <c r="D23" s="104"/>
      <c r="E23" s="104"/>
      <c r="F23" s="104"/>
      <c r="G23" s="104"/>
      <c r="H23" s="104"/>
      <c r="I23" s="104"/>
      <c r="J23" s="104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</row>
    <row r="24" spans="2:22" ht="15.75" hidden="1" outlineLevel="1">
      <c r="B24" s="113" t="s">
        <v>62</v>
      </c>
      <c r="C24" s="104"/>
      <c r="D24" s="104"/>
      <c r="E24" s="104"/>
      <c r="F24" s="114"/>
      <c r="G24" s="114"/>
      <c r="H24" s="114"/>
      <c r="I24" s="114"/>
      <c r="J24" s="104" t="s">
        <v>63</v>
      </c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</row>
    <row r="25" spans="2:22" ht="15.75" hidden="1" outlineLevel="1">
      <c r="B25" s="115" t="s">
        <v>64</v>
      </c>
      <c r="C25" s="115" t="s">
        <v>65</v>
      </c>
      <c r="D25" s="116" t="s">
        <v>66</v>
      </c>
      <c r="E25" s="115" t="s">
        <v>67</v>
      </c>
      <c r="F25" s="115" t="s">
        <v>68</v>
      </c>
      <c r="G25" s="116" t="s">
        <v>69</v>
      </c>
      <c r="H25" s="117" t="s">
        <v>70</v>
      </c>
      <c r="I25" s="114"/>
      <c r="J25" s="104" t="s">
        <v>61</v>
      </c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</row>
    <row r="26" spans="2:22" ht="15.75" hidden="1" outlineLevel="1">
      <c r="B26" s="104" t="s">
        <v>71</v>
      </c>
      <c r="C26" s="118"/>
      <c r="D26" s="118"/>
      <c r="E26" s="119" t="e">
        <f>#REF!/J26</f>
        <v>#REF!</v>
      </c>
      <c r="F26" s="120"/>
      <c r="G26" s="121"/>
      <c r="H26" s="122" t="e">
        <f t="shared" ref="H26:H32" si="0">F26/(1+(E26)*(1-G26))</f>
        <v>#REF!</v>
      </c>
      <c r="I26" s="123"/>
      <c r="J26" s="119" t="e">
        <f>1-#REF!</f>
        <v>#REF!</v>
      </c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</row>
    <row r="27" spans="2:22" ht="15.75" hidden="1" outlineLevel="1">
      <c r="B27" s="104" t="s">
        <v>72</v>
      </c>
      <c r="C27" s="118"/>
      <c r="D27" s="118"/>
      <c r="E27" s="119" t="e">
        <f>#REF!/J27</f>
        <v>#REF!</v>
      </c>
      <c r="F27" s="120"/>
      <c r="G27" s="121"/>
      <c r="H27" s="122" t="e">
        <f t="shared" si="0"/>
        <v>#REF!</v>
      </c>
      <c r="I27" s="114"/>
      <c r="J27" s="119" t="e">
        <f>1-#REF!</f>
        <v>#REF!</v>
      </c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</row>
    <row r="28" spans="2:22" ht="15.75" hidden="1" outlineLevel="1">
      <c r="B28" s="110" t="s">
        <v>73</v>
      </c>
      <c r="C28" s="118"/>
      <c r="D28" s="118"/>
      <c r="E28" s="109" t="e">
        <f>#REF!/J28</f>
        <v>#REF!</v>
      </c>
      <c r="F28" s="120"/>
      <c r="G28" s="121"/>
      <c r="H28" s="122" t="e">
        <f t="shared" si="0"/>
        <v>#REF!</v>
      </c>
      <c r="I28" s="114"/>
      <c r="J28" s="109" t="e">
        <f>1-#REF!</f>
        <v>#REF!</v>
      </c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</row>
    <row r="29" spans="2:22" ht="15.75" hidden="1" outlineLevel="1">
      <c r="B29" s="110" t="s">
        <v>74</v>
      </c>
      <c r="C29" s="118"/>
      <c r="D29" s="118"/>
      <c r="E29" s="109" t="e">
        <f>#REF!/J29</f>
        <v>#REF!</v>
      </c>
      <c r="F29" s="120"/>
      <c r="G29" s="121"/>
      <c r="H29" s="122" t="e">
        <f t="shared" si="0"/>
        <v>#REF!</v>
      </c>
      <c r="I29" s="114"/>
      <c r="J29" s="109" t="e">
        <f>1-#REF!</f>
        <v>#REF!</v>
      </c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</row>
    <row r="30" spans="2:22" ht="15.75" hidden="1" outlineLevel="1">
      <c r="B30" s="110" t="s">
        <v>75</v>
      </c>
      <c r="C30" s="118"/>
      <c r="D30" s="118"/>
      <c r="E30" s="109" t="e">
        <f>#REF!/J30</f>
        <v>#REF!</v>
      </c>
      <c r="F30" s="120"/>
      <c r="G30" s="121"/>
      <c r="H30" s="122" t="e">
        <f t="shared" si="0"/>
        <v>#REF!</v>
      </c>
      <c r="I30" s="114"/>
      <c r="J30" s="109" t="e">
        <f>1-#REF!</f>
        <v>#REF!</v>
      </c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</row>
    <row r="31" spans="2:22" ht="15.75" hidden="1" outlineLevel="1">
      <c r="B31" s="110" t="s">
        <v>76</v>
      </c>
      <c r="C31" s="118"/>
      <c r="D31" s="118"/>
      <c r="E31" s="109" t="e">
        <f>#REF!/J31</f>
        <v>#REF!</v>
      </c>
      <c r="F31" s="120"/>
      <c r="G31" s="121"/>
      <c r="H31" s="122" t="e">
        <f t="shared" si="0"/>
        <v>#REF!</v>
      </c>
      <c r="I31" s="114"/>
      <c r="J31" s="109" t="e">
        <f>1-#REF!</f>
        <v>#REF!</v>
      </c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</row>
    <row r="32" spans="2:22" ht="15.75" hidden="1" outlineLevel="1">
      <c r="B32" s="104" t="s">
        <v>77</v>
      </c>
      <c r="C32" s="118"/>
      <c r="D32" s="118"/>
      <c r="E32" s="119" t="e">
        <f>#REF!/J32</f>
        <v>#REF!</v>
      </c>
      <c r="F32" s="120"/>
      <c r="G32" s="121"/>
      <c r="H32" s="122" t="e">
        <f t="shared" si="0"/>
        <v>#REF!</v>
      </c>
      <c r="I32" s="114"/>
      <c r="J32" s="119" t="e">
        <f>1-#REF!</f>
        <v>#REF!</v>
      </c>
    </row>
    <row r="33" spans="2:10" ht="6" hidden="1" customHeight="1" outlineLevel="1">
      <c r="B33" s="104"/>
      <c r="C33" s="124"/>
      <c r="D33" s="124"/>
      <c r="E33" s="119"/>
      <c r="F33" s="114"/>
      <c r="G33" s="125"/>
      <c r="H33" s="122"/>
      <c r="I33" s="114"/>
      <c r="J33" s="104"/>
    </row>
    <row r="34" spans="2:10" ht="15.75" hidden="1" outlineLevel="1">
      <c r="B34" s="104" t="s">
        <v>78</v>
      </c>
      <c r="C34" s="104"/>
      <c r="D34" s="126"/>
      <c r="E34" s="119" t="e">
        <f>MEDIAN(E26:E32)</f>
        <v>#REF!</v>
      </c>
      <c r="F34" s="122" t="e">
        <f>MEDIAN(F26:F32)</f>
        <v>#NUM!</v>
      </c>
      <c r="G34" s="119"/>
      <c r="H34" s="122" t="e">
        <f>MEDIAN(H26:H32)</f>
        <v>#REF!</v>
      </c>
      <c r="I34" s="127"/>
      <c r="J34" s="127" t="e">
        <f>MEDIAN(J26:J32)</f>
        <v>#REF!</v>
      </c>
    </row>
    <row r="35" spans="2:10" ht="15.75" hidden="1" outlineLevel="1">
      <c r="B35" s="128" t="s">
        <v>79</v>
      </c>
      <c r="C35" s="129"/>
      <c r="D35" s="130"/>
      <c r="E35" s="131" t="e">
        <f>AVERAGE(E26:E32)</f>
        <v>#REF!</v>
      </c>
      <c r="F35" s="132" t="e">
        <f>AVERAGE(F26:F32)</f>
        <v>#DIV/0!</v>
      </c>
      <c r="G35" s="131"/>
      <c r="H35" s="132" t="e">
        <f>AVERAGE(H26:H32)</f>
        <v>#REF!</v>
      </c>
      <c r="I35" s="133"/>
      <c r="J35" s="134" t="e">
        <f>AVERAGE(J26:J32)</f>
        <v>#REF!</v>
      </c>
    </row>
    <row r="36" spans="2:10" ht="15.75" hidden="1" outlineLevel="1">
      <c r="B36" s="104"/>
      <c r="C36" s="104"/>
      <c r="D36" s="126"/>
      <c r="E36" s="104"/>
      <c r="F36" s="114"/>
      <c r="G36" s="114"/>
      <c r="H36" s="122"/>
      <c r="I36" s="114"/>
      <c r="J36" s="104"/>
    </row>
    <row r="37" spans="2:10" ht="15.75" hidden="1" outlineLevel="1">
      <c r="B37" s="135"/>
      <c r="C37" s="104"/>
      <c r="D37" s="136"/>
      <c r="E37" s="104"/>
      <c r="F37" s="114"/>
      <c r="G37" s="114"/>
      <c r="H37" s="137"/>
      <c r="I37" s="114"/>
      <c r="J37" s="104"/>
    </row>
    <row r="38" spans="2:10" ht="15.75" hidden="1" outlineLevel="1">
      <c r="B38" s="114"/>
      <c r="C38" s="135" t="str">
        <f>C25</f>
        <v>total debt</v>
      </c>
      <c r="D38" s="135" t="str">
        <f>D25</f>
        <v>total equity</v>
      </c>
      <c r="E38" s="135" t="str">
        <f>E25</f>
        <v>D/E</v>
      </c>
      <c r="F38" s="135"/>
      <c r="G38" s="135" t="str">
        <f>G25</f>
        <v>tax rate</v>
      </c>
      <c r="H38" s="138" t="s">
        <v>80</v>
      </c>
      <c r="I38" s="114"/>
      <c r="J38" s="104"/>
    </row>
    <row r="39" spans="2:10" ht="15.75" hidden="1" outlineLevel="1">
      <c r="B39" s="135" t="s">
        <v>81</v>
      </c>
      <c r="C39" s="139"/>
      <c r="D39" s="139"/>
      <c r="E39" s="126" t="e">
        <f>E35</f>
        <v>#REF!</v>
      </c>
      <c r="F39" s="114"/>
      <c r="G39" s="140">
        <v>0.3</v>
      </c>
      <c r="H39" s="141" t="e">
        <f>H35*(1+E39*(1-G39))</f>
        <v>#REF!</v>
      </c>
      <c r="I39" s="114"/>
      <c r="J39" s="104"/>
    </row>
    <row r="40" spans="2:10" ht="15.75" hidden="1" outlineLevel="1">
      <c r="B40" s="114" t="s">
        <v>82</v>
      </c>
      <c r="C40" s="118"/>
      <c r="D40" s="118"/>
      <c r="E40" s="126">
        <v>0</v>
      </c>
      <c r="F40" s="114"/>
      <c r="G40" s="140">
        <v>0.3</v>
      </c>
      <c r="H40" s="141" t="e">
        <f>H35*(1+E40*(1-G40))</f>
        <v>#REF!</v>
      </c>
      <c r="I40" s="114"/>
      <c r="J40" s="104"/>
    </row>
    <row r="41" spans="2:10" ht="15.75" collapsed="1">
      <c r="B41" s="104"/>
      <c r="C41" s="104"/>
      <c r="D41" s="104"/>
      <c r="E41" s="104"/>
      <c r="F41" s="104"/>
      <c r="G41" s="104"/>
      <c r="H41" s="104"/>
      <c r="I41" s="104"/>
      <c r="J41" s="104"/>
    </row>
    <row r="42" spans="2:10" ht="15.75">
      <c r="B42" s="104"/>
      <c r="C42" s="104"/>
      <c r="D42" s="104"/>
      <c r="E42" s="104"/>
      <c r="F42" s="104"/>
      <c r="G42" s="104"/>
      <c r="H42" s="104"/>
      <c r="I42" s="104"/>
      <c r="J42" s="104"/>
    </row>
  </sheetData>
  <pageMargins left="0.25" right="0.25" top="0.5" bottom="0.25" header="0.5" footer="0.5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24E84-E33C-4C47-B89F-2536612ADE5E}">
  <dimension ref="A1:AE57"/>
  <sheetViews>
    <sheetView showGridLines="0" topLeftCell="A16" zoomScale="89" zoomScaleNormal="145" workbookViewId="0">
      <selection activeCell="A5" sqref="A5:P15"/>
    </sheetView>
  </sheetViews>
  <sheetFormatPr defaultColWidth="9.140625" defaultRowHeight="12.95" customHeight="1" outlineLevelRow="1" outlineLevelCol="1"/>
  <cols>
    <col min="1" max="1" width="2.42578125" style="2" customWidth="1"/>
    <col min="2" max="2" width="1.7109375" style="2" customWidth="1"/>
    <col min="3" max="3" width="10.42578125" style="2" bestFit="1" customWidth="1"/>
    <col min="4" max="4" width="10.85546875" style="2" bestFit="1" customWidth="1"/>
    <col min="5" max="5" width="11.42578125" style="2" customWidth="1"/>
    <col min="6" max="8" width="12" style="2" hidden="1" customWidth="1" outlineLevel="1"/>
    <col min="9" max="9" width="12" style="2" customWidth="1" collapsed="1"/>
    <col min="10" max="16" width="12" style="2" customWidth="1"/>
    <col min="17" max="17" width="2.7109375" style="2" customWidth="1"/>
    <col min="18" max="18" width="12.5703125" style="2" bestFit="1" customWidth="1"/>
    <col min="19" max="19" width="9.140625" style="2"/>
    <col min="20" max="20" width="14.7109375" style="2" customWidth="1"/>
    <col min="21" max="21" width="2.140625" style="2" customWidth="1"/>
    <col min="22" max="22" width="16.140625" style="2" hidden="1" customWidth="1"/>
    <col min="23" max="23" width="2.140625" style="2" hidden="1" customWidth="1"/>
    <col min="24" max="26" width="13.5703125" style="2" hidden="1" customWidth="1"/>
    <col min="27" max="27" width="2.140625" style="2" hidden="1" customWidth="1"/>
    <col min="28" max="30" width="13.5703125" style="2" customWidth="1"/>
    <col min="31" max="16384" width="9.140625" style="2"/>
  </cols>
  <sheetData>
    <row r="1" spans="1:31" s="7" customFormat="1" ht="19.5" thickBot="1">
      <c r="A1" s="4" t="str">
        <f>"Discounted Cash Flow Analysis for "&amp;Name</f>
        <v>Discounted Cash Flow Analysis for Netflix</v>
      </c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T1" s="4" t="str">
        <f>"DCF Sensitivity Analysis for "&amp;Name</f>
        <v>DCF Sensitivity Analysis for Netflix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15">
      <c r="A2" s="8" t="str">
        <f>Subheader</f>
        <v>Dollars in millions, except per share</v>
      </c>
      <c r="B2" s="8"/>
      <c r="C2" s="9"/>
      <c r="D2" s="10"/>
      <c r="E2" s="10"/>
      <c r="F2" s="10"/>
      <c r="G2" s="10"/>
      <c r="H2" s="10"/>
      <c r="I2" s="10"/>
      <c r="J2" s="10"/>
      <c r="K2" s="10"/>
      <c r="L2" s="9"/>
      <c r="M2" s="9"/>
      <c r="N2" s="9"/>
      <c r="O2" s="9"/>
      <c r="P2" s="9"/>
      <c r="Q2" s="10"/>
      <c r="R2" s="10"/>
      <c r="T2" s="8" t="str">
        <f>A2</f>
        <v>Dollars in millions, except per share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15">
      <c r="A3" s="3"/>
      <c r="B3" s="3"/>
      <c r="D3" s="11"/>
      <c r="E3" s="11"/>
      <c r="F3" s="11"/>
      <c r="G3" s="11"/>
      <c r="H3" s="11"/>
      <c r="I3" s="11"/>
      <c r="J3" s="11"/>
      <c r="K3" s="11"/>
      <c r="Q3" s="11"/>
      <c r="R3" s="11"/>
      <c r="T3" s="12"/>
      <c r="U3" s="13"/>
      <c r="V3" s="13"/>
      <c r="W3" s="13"/>
      <c r="X3" s="13"/>
      <c r="Y3" s="13"/>
      <c r="Z3" s="13"/>
      <c r="AA3" s="13"/>
      <c r="AB3" s="13"/>
      <c r="AC3" s="13"/>
      <c r="AD3" s="14"/>
    </row>
    <row r="4" spans="1:31" ht="15">
      <c r="F4" s="15" t="e">
        <f>'DCF Assumptions'!#REF!</f>
        <v>#REF!</v>
      </c>
      <c r="G4" s="16"/>
      <c r="H4" s="16"/>
      <c r="I4" s="17" t="s">
        <v>83</v>
      </c>
      <c r="J4" s="18"/>
      <c r="K4" s="18"/>
      <c r="L4" s="18"/>
      <c r="M4" s="21"/>
      <c r="N4" s="21"/>
      <c r="O4" s="21"/>
      <c r="P4" s="21"/>
      <c r="R4" s="19"/>
      <c r="T4" s="20"/>
      <c r="V4" s="21" t="s">
        <v>84</v>
      </c>
      <c r="W4" s="22" t="s">
        <v>85</v>
      </c>
      <c r="X4" s="21" t="s">
        <v>86</v>
      </c>
      <c r="Y4" s="23"/>
      <c r="Z4" s="23"/>
      <c r="AA4" s="2" t="s">
        <v>87</v>
      </c>
      <c r="AB4" s="21" t="s">
        <v>88</v>
      </c>
      <c r="AC4" s="23"/>
      <c r="AD4" s="24"/>
    </row>
    <row r="5" spans="1:31" ht="15">
      <c r="F5" s="100" t="e">
        <f>'DCF Assumptions'!#REF!</f>
        <v>#REF!</v>
      </c>
      <c r="G5" s="100" t="e">
        <f>'DCF Assumptions'!#REF!</f>
        <v>#REF!</v>
      </c>
      <c r="H5" s="100" t="e">
        <f>'DCF Assumptions'!#REF!</f>
        <v>#REF!</v>
      </c>
      <c r="I5" s="100">
        <v>2023</v>
      </c>
      <c r="J5" s="100">
        <v>2024</v>
      </c>
      <c r="K5" s="100">
        <v>2025</v>
      </c>
      <c r="L5" s="100">
        <v>2026</v>
      </c>
      <c r="M5" s="100">
        <v>2027</v>
      </c>
      <c r="N5" s="100">
        <v>2028</v>
      </c>
      <c r="O5" s="100">
        <v>2029</v>
      </c>
      <c r="P5" s="100">
        <v>2030</v>
      </c>
      <c r="R5" s="22"/>
      <c r="T5" s="20"/>
      <c r="V5" s="25" t="s">
        <v>89</v>
      </c>
      <c r="X5" s="26" t="s">
        <v>90</v>
      </c>
      <c r="Y5" s="26"/>
      <c r="Z5" s="26"/>
      <c r="AB5" s="26" t="s">
        <v>91</v>
      </c>
      <c r="AC5" s="27"/>
      <c r="AD5" s="28"/>
    </row>
    <row r="6" spans="1:31" ht="15.75">
      <c r="A6" s="30" t="s">
        <v>92</v>
      </c>
      <c r="B6" s="30"/>
      <c r="C6" s="30"/>
      <c r="F6" s="45" t="e">
        <f>SUM(#REF!)</f>
        <v>#REF!</v>
      </c>
      <c r="G6" s="45" t="e">
        <f>SUM(#REF!)</f>
        <v>#REF!</v>
      </c>
      <c r="H6" s="45" t="e">
        <f>SUM(#REF!)</f>
        <v>#REF!</v>
      </c>
      <c r="I6" s="166">
        <f>'Income Statement'!I39</f>
        <v>9943.3724583286967</v>
      </c>
      <c r="J6" s="166">
        <f>'Income Statement'!J39</f>
        <v>10639.408530411703</v>
      </c>
      <c r="K6" s="166">
        <f>'Income Statement'!K39</f>
        <v>11490.561212844637</v>
      </c>
      <c r="L6" s="166">
        <f>'Income Statement'!L39</f>
        <v>12524.711722000662</v>
      </c>
      <c r="M6" s="166">
        <f>'Income Statement'!M39</f>
        <v>13647.13457111362</v>
      </c>
      <c r="N6" s="166">
        <f>'Income Statement'!N39</f>
        <v>14932.919506311253</v>
      </c>
      <c r="O6" s="166">
        <f>'Income Statement'!O39</f>
        <v>16411.114809888437</v>
      </c>
      <c r="P6" s="166">
        <f>'Income Statement'!P39</f>
        <v>18117.896875005878</v>
      </c>
      <c r="R6" s="31"/>
      <c r="T6" s="32" t="s">
        <v>93</v>
      </c>
      <c r="V6" s="33" t="s">
        <v>94</v>
      </c>
      <c r="X6" s="34">
        <f>Y6-1</f>
        <v>9.2274816610403914</v>
      </c>
      <c r="Y6" s="34">
        <f>J21</f>
        <v>10.227481661040391</v>
      </c>
      <c r="Z6" s="34">
        <f>Y6+1</f>
        <v>11.227481661040391</v>
      </c>
      <c r="AB6" s="34">
        <f>AC6-1</f>
        <v>9.2274816610403914</v>
      </c>
      <c r="AC6" s="34">
        <f>multiple</f>
        <v>10.227481661040391</v>
      </c>
      <c r="AD6" s="35">
        <f>AC6+1</f>
        <v>11.227481661040391</v>
      </c>
    </row>
    <row r="7" spans="1:31" ht="15">
      <c r="A7" s="30" t="str">
        <f>"Less: Taxes @ "&amp;ROUND(tax*100,1)&amp;"%"</f>
        <v>Less: Taxes @ 21%</v>
      </c>
      <c r="B7" s="30"/>
      <c r="C7" s="30"/>
      <c r="D7" s="46"/>
      <c r="F7" s="37" t="e">
        <f>F6*-tax</f>
        <v>#REF!</v>
      </c>
      <c r="G7" s="37" t="e">
        <f t="shared" ref="G7:P7" si="0">G6*-tax</f>
        <v>#REF!</v>
      </c>
      <c r="H7" s="37" t="e">
        <f t="shared" si="0"/>
        <v>#REF!</v>
      </c>
      <c r="I7" s="37">
        <f>I6*-tax</f>
        <v>-2088.1082162490261</v>
      </c>
      <c r="J7" s="37">
        <f t="shared" si="0"/>
        <v>-2234.2757913864575</v>
      </c>
      <c r="K7" s="37">
        <f t="shared" si="0"/>
        <v>-2413.0178546973739</v>
      </c>
      <c r="L7" s="37">
        <f t="shared" si="0"/>
        <v>-2630.1894616201389</v>
      </c>
      <c r="M7" s="37">
        <f t="shared" si="0"/>
        <v>-2865.8982599338601</v>
      </c>
      <c r="N7" s="37">
        <f t="shared" si="0"/>
        <v>-3135.9130963253629</v>
      </c>
      <c r="O7" s="37">
        <f t="shared" si="0"/>
        <v>-3446.3341100765715</v>
      </c>
      <c r="P7" s="37">
        <f t="shared" si="0"/>
        <v>-3804.758343751234</v>
      </c>
      <c r="R7" s="31"/>
      <c r="T7" s="39">
        <f>T8-0.005</f>
        <v>7.4807909999999991E-2</v>
      </c>
      <c r="V7" s="145">
        <f>NPV(T7,I$15:P$15)</f>
        <v>57164.716165266233</v>
      </c>
      <c r="W7" s="40"/>
      <c r="X7" s="40">
        <f>($J$22*$X$6)/(1+T7)^8</f>
        <v>220428.08173315923</v>
      </c>
      <c r="Y7" s="40">
        <f>($J$22*$Y$6)/(1+T7)^8</f>
        <v>244316.29845688731</v>
      </c>
      <c r="Z7" s="40">
        <f>($J$22*$Z$6)/(1+T7)^8</f>
        <v>268204.51518061536</v>
      </c>
      <c r="AB7" s="40">
        <f t="shared" ref="AB7:AD11" si="1">$V7+X7</f>
        <v>277592.79789842549</v>
      </c>
      <c r="AC7" s="165">
        <f t="shared" si="1"/>
        <v>301481.01462215354</v>
      </c>
      <c r="AD7" s="41">
        <f t="shared" si="1"/>
        <v>325369.23134588159</v>
      </c>
    </row>
    <row r="8" spans="1:31" ht="15">
      <c r="A8" s="30" t="s">
        <v>95</v>
      </c>
      <c r="B8" s="30"/>
      <c r="C8" s="30"/>
      <c r="F8" s="45" t="e">
        <f t="shared" ref="F8:L8" si="2">SUM(F6:F7)</f>
        <v>#REF!</v>
      </c>
      <c r="G8" s="45" t="e">
        <f t="shared" si="2"/>
        <v>#REF!</v>
      </c>
      <c r="H8" s="45" t="e">
        <f t="shared" si="2"/>
        <v>#REF!</v>
      </c>
      <c r="I8" s="45">
        <f t="shared" si="2"/>
        <v>7855.264242079671</v>
      </c>
      <c r="J8" s="45">
        <f t="shared" si="2"/>
        <v>8405.1327390252463</v>
      </c>
      <c r="K8" s="45">
        <f t="shared" si="2"/>
        <v>9077.5433581472644</v>
      </c>
      <c r="L8" s="45">
        <f t="shared" si="2"/>
        <v>9894.5222603805232</v>
      </c>
      <c r="M8" s="45">
        <f t="shared" ref="M8:P8" si="3">SUM(M6:M7)</f>
        <v>10781.23631117976</v>
      </c>
      <c r="N8" s="45">
        <f t="shared" si="3"/>
        <v>11797.00640998589</v>
      </c>
      <c r="O8" s="45">
        <f t="shared" si="3"/>
        <v>12964.780699811865</v>
      </c>
      <c r="P8" s="45">
        <f t="shared" si="3"/>
        <v>14313.138531254644</v>
      </c>
      <c r="R8" s="31"/>
      <c r="T8" s="39">
        <f>T9-0.005</f>
        <v>7.9807909999999996E-2</v>
      </c>
      <c r="V8" s="145">
        <f>NPV(T8,I$15:P$15)</f>
        <v>55759.508111841067</v>
      </c>
      <c r="W8" s="42"/>
      <c r="X8" s="40">
        <f t="shared" ref="X8:X11" si="4">($J$22*$X$6)/(1+T8)^8</f>
        <v>212393.74207816951</v>
      </c>
      <c r="Y8" s="40">
        <f t="shared" ref="Y8:Y11" si="5">($J$22*$Y$6)/(1+T8)^8</f>
        <v>235411.26190429096</v>
      </c>
      <c r="Z8" s="40">
        <f t="shared" ref="Z8:Z11" si="6">($J$22*$Z$6)/(1+T8)^8</f>
        <v>258428.78173041242</v>
      </c>
      <c r="AB8" s="42">
        <f t="shared" si="1"/>
        <v>268153.25019001059</v>
      </c>
      <c r="AC8" s="163">
        <f t="shared" si="1"/>
        <v>291170.77001613204</v>
      </c>
      <c r="AD8" s="43">
        <f t="shared" si="1"/>
        <v>314188.28984225349</v>
      </c>
    </row>
    <row r="9" spans="1:31" ht="15"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R9" s="31"/>
      <c r="T9" s="44">
        <f>rate</f>
        <v>8.480791E-2</v>
      </c>
      <c r="V9" s="145">
        <f>NPV(T9,I$15:P$15)</f>
        <v>54400.392102421516</v>
      </c>
      <c r="W9" s="42"/>
      <c r="X9" s="40">
        <f t="shared" si="4"/>
        <v>204687.35161995297</v>
      </c>
      <c r="Y9" s="40">
        <f t="shared" si="5"/>
        <v>226869.71503598327</v>
      </c>
      <c r="Z9" s="40">
        <f t="shared" si="6"/>
        <v>249052.07845201358</v>
      </c>
      <c r="AB9" s="163">
        <f t="shared" si="1"/>
        <v>259087.74372237449</v>
      </c>
      <c r="AC9" s="163">
        <f t="shared" si="1"/>
        <v>281270.1071384048</v>
      </c>
      <c r="AD9" s="164">
        <f t="shared" si="1"/>
        <v>303452.4705544351</v>
      </c>
    </row>
    <row r="10" spans="1:31" ht="15" outlineLevel="1">
      <c r="A10" s="30" t="s">
        <v>96</v>
      </c>
      <c r="B10" s="30"/>
      <c r="C10" s="30"/>
      <c r="F10" s="37"/>
      <c r="G10" s="37" t="e">
        <f>-#REF!</f>
        <v>#REF!</v>
      </c>
      <c r="H10" s="37" t="e">
        <f>-#REF!</f>
        <v>#REF!</v>
      </c>
      <c r="I10" s="159">
        <f>'Income Statement'!I43</f>
        <v>13404.993200000004</v>
      </c>
      <c r="J10" s="159">
        <f>'Income Statement'!J43</f>
        <v>14343.342724000002</v>
      </c>
      <c r="K10" s="159">
        <f>'Income Statement'!K43</f>
        <v>15490.810141920003</v>
      </c>
      <c r="L10" s="159">
        <f>'Income Statement'!L43</f>
        <v>16884.983054692806</v>
      </c>
      <c r="M10" s="159">
        <f>'Income Statement'!M43</f>
        <v>18398.158863296961</v>
      </c>
      <c r="N10" s="159">
        <f>'Income Statement'!N43</f>
        <v>20131.568567622147</v>
      </c>
      <c r="O10" s="159">
        <f>'Income Statement'!O43</f>
        <v>22124.37312923008</v>
      </c>
      <c r="P10" s="159">
        <f>'Income Statement'!P43</f>
        <v>24425.343154507278</v>
      </c>
      <c r="R10" s="31"/>
      <c r="T10" s="39">
        <f>T9+0.005</f>
        <v>8.9807910000000005E-2</v>
      </c>
      <c r="V10" s="145">
        <f>NPV(T10,I$15:P$15)</f>
        <v>53085.569672118581</v>
      </c>
      <c r="W10" s="42"/>
      <c r="X10" s="40">
        <f t="shared" si="4"/>
        <v>197294.10393917069</v>
      </c>
      <c r="Y10" s="40">
        <f t="shared" si="5"/>
        <v>218675.24683237975</v>
      </c>
      <c r="Z10" s="40">
        <f t="shared" si="6"/>
        <v>240056.38972558882</v>
      </c>
      <c r="AB10" s="42">
        <f t="shared" si="1"/>
        <v>250379.67361128927</v>
      </c>
      <c r="AC10" s="163">
        <f t="shared" si="1"/>
        <v>271760.81650449836</v>
      </c>
      <c r="AD10" s="43">
        <f t="shared" si="1"/>
        <v>293141.95939770737</v>
      </c>
    </row>
    <row r="11" spans="1:31" ht="14.65" customHeight="1">
      <c r="A11" s="30" t="s">
        <v>97</v>
      </c>
      <c r="B11" s="30"/>
      <c r="C11" s="30"/>
      <c r="F11" s="37"/>
      <c r="G11" s="37" t="e">
        <f>-#REF!</f>
        <v>#REF!</v>
      </c>
      <c r="H11" s="37" t="e">
        <f>-#REF!</f>
        <v>#REF!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R11" s="31"/>
      <c r="T11" s="39">
        <f>T10+0.005</f>
        <v>9.4807910000000009E-2</v>
      </c>
      <c r="V11" s="145">
        <f>NPV(T11,I$15:P$15)</f>
        <v>51813.322325935325</v>
      </c>
      <c r="W11" s="42"/>
      <c r="X11" s="40">
        <f t="shared" si="4"/>
        <v>190199.92463948048</v>
      </c>
      <c r="Y11" s="40">
        <f t="shared" si="5"/>
        <v>210812.25762763791</v>
      </c>
      <c r="Z11" s="40">
        <f t="shared" si="6"/>
        <v>231424.59061579531</v>
      </c>
      <c r="AB11" s="42">
        <f t="shared" si="1"/>
        <v>242013.2469654158</v>
      </c>
      <c r="AC11" s="163">
        <f t="shared" si="1"/>
        <v>262625.57995357324</v>
      </c>
      <c r="AD11" s="43">
        <f t="shared" si="1"/>
        <v>283237.91294173064</v>
      </c>
    </row>
    <row r="12" spans="1:31" ht="14.65" customHeight="1">
      <c r="A12" s="30" t="s">
        <v>98</v>
      </c>
      <c r="B12" s="30"/>
      <c r="C12" s="30"/>
      <c r="F12" s="37"/>
      <c r="G12" s="37" t="e">
        <f>'DCF Assumptions'!#REF!*'DCF Assumptions'!#REF!</f>
        <v>#REF!</v>
      </c>
      <c r="H12" s="37" t="e">
        <f>'DCF Assumptions'!#REF!*'DCF Assumptions'!#REF!</f>
        <v>#REF!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T12" s="20"/>
      <c r="AD12" s="29"/>
    </row>
    <row r="13" spans="1:31" ht="14.65" customHeight="1">
      <c r="A13" s="30" t="s">
        <v>99</v>
      </c>
      <c r="B13" s="30"/>
      <c r="C13" s="30"/>
      <c r="F13" s="37"/>
      <c r="G13" s="37" t="e">
        <f>-'DCF Assumptions'!#REF!</f>
        <v>#REF!</v>
      </c>
      <c r="H13" s="37" t="e">
        <f>-'DCF Assumptions'!#REF!</f>
        <v>#REF!</v>
      </c>
      <c r="I13" s="159">
        <f>'Income Statement'!I44</f>
        <v>-17156.062183466162</v>
      </c>
      <c r="J13" s="159">
        <f>'Income Statement'!J44</f>
        <v>-17190.80557630879</v>
      </c>
      <c r="K13" s="159">
        <f>'Income Statement'!K44</f>
        <v>-17233.291782413497</v>
      </c>
      <c r="L13" s="159">
        <f>'Income Statement'!L44</f>
        <v>-17284.912522830709</v>
      </c>
      <c r="M13" s="159">
        <f>'Income Statement'!M44</f>
        <v>-17340.939472505277</v>
      </c>
      <c r="N13" s="159">
        <f>'Income Statement'!N44</f>
        <v>-17405.120817275267</v>
      </c>
      <c r="O13" s="159">
        <f>'Income Statement'!O44</f>
        <v>-17478.906533548012</v>
      </c>
      <c r="P13" s="159">
        <f>'Income Statement'!P44</f>
        <v>-17564.102405089081</v>
      </c>
      <c r="T13" s="20"/>
      <c r="U13" s="2" t="s">
        <v>100</v>
      </c>
      <c r="V13" s="21" t="s">
        <v>101</v>
      </c>
      <c r="W13" s="22" t="s">
        <v>87</v>
      </c>
      <c r="X13" s="21" t="s">
        <v>102</v>
      </c>
      <c r="Y13" s="23"/>
      <c r="Z13" s="23"/>
      <c r="AB13" s="21" t="s">
        <v>103</v>
      </c>
      <c r="AC13" s="23"/>
      <c r="AD13" s="24"/>
    </row>
    <row r="14" spans="1:31" ht="14.65" customHeight="1">
      <c r="A14" s="30" t="s">
        <v>104</v>
      </c>
      <c r="B14" s="30"/>
      <c r="C14" s="30"/>
      <c r="F14" s="37"/>
      <c r="G14" s="51" t="e">
        <f>-(#REF!-#REF!)*'DCF Assumptions'!#REF!</f>
        <v>#REF!</v>
      </c>
      <c r="H14" s="51" t="e">
        <f>-(#REF!-#REF!)*'DCF Assumptions'!#REF!</f>
        <v>#REF!</v>
      </c>
      <c r="I14" s="162">
        <f>'Income Statement'!I45</f>
        <v>-749.56700000000023</v>
      </c>
      <c r="J14" s="162">
        <f>'Income Statement'!J45</f>
        <v>-764.55834000000027</v>
      </c>
      <c r="K14" s="162">
        <f>'Income Statement'!K45</f>
        <v>-779.84950680000031</v>
      </c>
      <c r="L14" s="162">
        <f>'Income Statement'!L45</f>
        <v>-795.44649693600036</v>
      </c>
      <c r="M14" s="162">
        <f>'Income Statement'!M45</f>
        <v>-811.35542687472037</v>
      </c>
      <c r="N14" s="162">
        <f>'Income Statement'!N45</f>
        <v>-827.58253541221484</v>
      </c>
      <c r="O14" s="162">
        <f>'Income Statement'!O45</f>
        <v>-844.13418612045916</v>
      </c>
      <c r="P14" s="162">
        <f>'Income Statement'!P45</f>
        <v>-861.01686984286835</v>
      </c>
      <c r="T14" s="20"/>
      <c r="V14" s="25"/>
      <c r="X14" s="26" t="s">
        <v>105</v>
      </c>
      <c r="Y14" s="26"/>
      <c r="Z14" s="26"/>
      <c r="AB14" s="26" t="s">
        <v>106</v>
      </c>
      <c r="AC14" s="27"/>
      <c r="AD14" s="28"/>
    </row>
    <row r="15" spans="1:31" ht="14.65" customHeight="1">
      <c r="A15" s="52" t="s">
        <v>107</v>
      </c>
      <c r="B15" s="52"/>
      <c r="C15" s="52"/>
      <c r="D15" s="11"/>
      <c r="E15" s="11"/>
      <c r="F15" s="53"/>
      <c r="G15" s="54" t="e">
        <f t="shared" ref="G15:L15" si="7">SUM(G8:G14)</f>
        <v>#REF!</v>
      </c>
      <c r="H15" s="54" t="e">
        <f t="shared" si="7"/>
        <v>#REF!</v>
      </c>
      <c r="I15" s="54">
        <f t="shared" si="7"/>
        <v>3354.6282586135121</v>
      </c>
      <c r="J15" s="54">
        <f t="shared" si="7"/>
        <v>4793.1115467164591</v>
      </c>
      <c r="K15" s="54">
        <f t="shared" si="7"/>
        <v>6555.2122108537706</v>
      </c>
      <c r="L15" s="54">
        <f t="shared" si="7"/>
        <v>8699.1462953066202</v>
      </c>
      <c r="M15" s="54">
        <f t="shared" ref="M15:P15" si="8">SUM(M8:M14)</f>
        <v>11027.100275096724</v>
      </c>
      <c r="N15" s="54">
        <f t="shared" si="8"/>
        <v>13695.871624920555</v>
      </c>
      <c r="O15" s="54">
        <f t="shared" si="8"/>
        <v>16766.113109373469</v>
      </c>
      <c r="P15" s="54">
        <f t="shared" si="8"/>
        <v>20313.362410829974</v>
      </c>
      <c r="T15" s="32" t="s">
        <v>93</v>
      </c>
      <c r="V15" s="33" t="s">
        <v>108</v>
      </c>
      <c r="X15" s="34">
        <f>Y15-1</f>
        <v>9.2274816610403914</v>
      </c>
      <c r="Y15" s="34">
        <f>multiple</f>
        <v>10.227481661040391</v>
      </c>
      <c r="Z15" s="34">
        <f>Y15+1</f>
        <v>11.227481661040391</v>
      </c>
      <c r="AB15" s="34">
        <f>AC15-1</f>
        <v>9.2274816610403914</v>
      </c>
      <c r="AC15" s="34">
        <f>multiple</f>
        <v>10.227481661040391</v>
      </c>
      <c r="AD15" s="35">
        <f>AC15+1</f>
        <v>11.227481661040391</v>
      </c>
    </row>
    <row r="16" spans="1:31" ht="14.65" customHeight="1">
      <c r="A16" s="52"/>
      <c r="B16" s="36"/>
      <c r="C16" s="30"/>
      <c r="F16" s="37"/>
      <c r="G16" s="38"/>
      <c r="H16" s="38" t="e">
        <f t="shared" ref="H16" si="9">H15/G15-1</f>
        <v>#REF!</v>
      </c>
      <c r="I16" s="38"/>
      <c r="J16" s="38"/>
      <c r="K16" s="38"/>
      <c r="L16" s="38"/>
      <c r="M16" s="38"/>
      <c r="N16" s="38"/>
      <c r="O16" s="38"/>
      <c r="P16" s="38"/>
      <c r="T16" s="39">
        <f>T17-0.005</f>
        <v>7.4807909999999991E-2</v>
      </c>
      <c r="V16" s="40">
        <f>debt+prefstock+mininterest-cash</f>
        <v>13435.111999999997</v>
      </c>
      <c r="W16" s="40"/>
      <c r="X16" s="40">
        <f t="shared" ref="X16:Z20" si="10">AB7-$V16</f>
        <v>264157.68589842546</v>
      </c>
      <c r="Y16" s="40">
        <f t="shared" si="10"/>
        <v>288045.90262215352</v>
      </c>
      <c r="Z16" s="40">
        <f t="shared" si="10"/>
        <v>311934.11934588157</v>
      </c>
      <c r="AB16" s="47">
        <f>X16/sharesout</f>
        <v>592.28180694714229</v>
      </c>
      <c r="AC16" s="149">
        <f>Y16/sharesout</f>
        <v>645.84283099137565</v>
      </c>
      <c r="AD16" s="48" t="s">
        <v>109</v>
      </c>
    </row>
    <row r="17" spans="1:31" ht="14.65" customHeight="1" thickBot="1">
      <c r="A17" s="30"/>
      <c r="B17" s="52"/>
      <c r="C17" s="52"/>
      <c r="D17" s="11"/>
      <c r="E17" s="11"/>
      <c r="F17" s="53"/>
      <c r="G17" s="53"/>
      <c r="H17" s="53"/>
      <c r="I17" s="60"/>
      <c r="J17" s="60"/>
      <c r="K17" s="60"/>
      <c r="L17" s="60"/>
      <c r="M17" s="60"/>
      <c r="N17" s="60"/>
      <c r="O17" s="60"/>
      <c r="P17" s="60"/>
      <c r="T17" s="39">
        <f>T18-0.005</f>
        <v>7.9807909999999996E-2</v>
      </c>
      <c r="V17" s="42">
        <f>debt+prefstock+mininterest-cash</f>
        <v>13435.111999999997</v>
      </c>
      <c r="W17" s="42"/>
      <c r="X17" s="42">
        <f t="shared" si="10"/>
        <v>254718.13819001059</v>
      </c>
      <c r="Y17" s="42">
        <f t="shared" si="10"/>
        <v>277735.65801613202</v>
      </c>
      <c r="Z17" s="42">
        <f t="shared" si="10"/>
        <v>300753.17784225347</v>
      </c>
      <c r="AB17" s="49">
        <f t="shared" ref="AB17:AD20" si="11">X17/sharesout</f>
        <v>571.11690177132425</v>
      </c>
      <c r="AC17" s="150">
        <f t="shared" si="11"/>
        <v>622.72569061913009</v>
      </c>
      <c r="AD17" s="50">
        <f t="shared" si="11"/>
        <v>674.33447946693605</v>
      </c>
    </row>
    <row r="18" spans="1:31" ht="15.75" thickBot="1">
      <c r="A18" s="30"/>
      <c r="B18" s="52"/>
      <c r="C18" s="52"/>
      <c r="D18" s="11"/>
      <c r="E18" s="11"/>
      <c r="F18" s="53"/>
      <c r="G18" s="53"/>
      <c r="H18" s="53"/>
      <c r="I18" s="54"/>
      <c r="J18" s="54"/>
      <c r="K18" s="54"/>
      <c r="L18" s="54"/>
      <c r="M18" s="54"/>
      <c r="N18" s="54"/>
      <c r="O18" s="54"/>
      <c r="P18" s="54"/>
      <c r="T18" s="44">
        <f>rate</f>
        <v>8.480791E-2</v>
      </c>
      <c r="V18" s="42">
        <f>debt+prefstock+mininterest-cash</f>
        <v>13435.111999999997</v>
      </c>
      <c r="W18" s="42"/>
      <c r="X18" s="42">
        <f t="shared" si="10"/>
        <v>245652.6317223745</v>
      </c>
      <c r="Y18" s="42">
        <f t="shared" si="10"/>
        <v>267834.99513840477</v>
      </c>
      <c r="Z18" s="42">
        <f t="shared" si="10"/>
        <v>290017.35855443508</v>
      </c>
      <c r="AB18" s="150">
        <f t="shared" si="11"/>
        <v>550.79065408604151</v>
      </c>
      <c r="AC18" s="153">
        <f t="shared" si="11"/>
        <v>600.52689492915874</v>
      </c>
      <c r="AD18" s="152">
        <f t="shared" si="11"/>
        <v>650.26313577227597</v>
      </c>
    </row>
    <row r="19" spans="1:31" ht="15">
      <c r="A19" s="30" t="s">
        <v>110</v>
      </c>
      <c r="B19" s="52"/>
      <c r="C19" s="52"/>
      <c r="D19" s="11"/>
      <c r="E19" s="11"/>
      <c r="F19" s="53"/>
      <c r="G19" s="53"/>
      <c r="H19" s="53"/>
      <c r="I19" s="61"/>
      <c r="J19" s="60">
        <f>termgrowth</f>
        <v>0.02</v>
      </c>
      <c r="K19" s="61"/>
      <c r="L19" s="61"/>
      <c r="M19" s="61"/>
      <c r="N19" s="61"/>
      <c r="O19" s="61"/>
      <c r="P19" s="61"/>
      <c r="T19" s="39">
        <f>T18+0.005</f>
        <v>8.9807910000000005E-2</v>
      </c>
      <c r="V19" s="42">
        <f>debt+prefstock+mininterest-cash</f>
        <v>13435.111999999997</v>
      </c>
      <c r="W19" s="42"/>
      <c r="X19" s="42">
        <f t="shared" si="10"/>
        <v>236944.56161128927</v>
      </c>
      <c r="Y19" s="42">
        <f t="shared" si="10"/>
        <v>258325.70450449837</v>
      </c>
      <c r="Z19" s="42">
        <f t="shared" si="10"/>
        <v>279706.84739770734</v>
      </c>
      <c r="AB19" s="49">
        <f t="shared" si="11"/>
        <v>531.26583320916882</v>
      </c>
      <c r="AC19" s="150">
        <f t="shared" si="11"/>
        <v>579.20561548093804</v>
      </c>
      <c r="AD19" s="50">
        <f t="shared" si="11"/>
        <v>627.14539775270703</v>
      </c>
      <c r="AE19" s="11"/>
    </row>
    <row r="20" spans="1:31" s="11" customFormat="1" ht="15">
      <c r="A20" s="36"/>
      <c r="B20" s="36"/>
      <c r="C20" s="36"/>
      <c r="D20" s="3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T20" s="55">
        <f>T19+0.005</f>
        <v>9.4807910000000009E-2</v>
      </c>
      <c r="U20" s="56"/>
      <c r="V20" s="57">
        <f>debt+prefstock+mininterest-cash</f>
        <v>13435.111999999997</v>
      </c>
      <c r="W20" s="57"/>
      <c r="X20" s="57">
        <f t="shared" si="10"/>
        <v>228578.13496541581</v>
      </c>
      <c r="Y20" s="57">
        <f t="shared" si="10"/>
        <v>249190.46795357324</v>
      </c>
      <c r="Z20" s="57">
        <f t="shared" si="10"/>
        <v>269802.80094173062</v>
      </c>
      <c r="AA20" s="56"/>
      <c r="AB20" s="58">
        <f t="shared" si="11"/>
        <v>512.50702907043899</v>
      </c>
      <c r="AC20" s="151">
        <f t="shared" si="11"/>
        <v>558.72302231742879</v>
      </c>
      <c r="AD20" s="59">
        <f t="shared" si="11"/>
        <v>604.93901556441847</v>
      </c>
    </row>
    <row r="21" spans="1:31" s="11" customFormat="1" ht="15">
      <c r="A21" s="2" t="s">
        <v>111</v>
      </c>
      <c r="B21" s="2"/>
      <c r="C21" s="2"/>
      <c r="D21" s="2"/>
      <c r="E21" s="2"/>
      <c r="F21" s="2"/>
      <c r="G21" s="2"/>
      <c r="H21" s="2"/>
      <c r="I21" s="143"/>
      <c r="J21" s="161">
        <f>multiple</f>
        <v>10.227481661040391</v>
      </c>
      <c r="K21" s="143"/>
      <c r="L21" s="143"/>
      <c r="M21" s="143"/>
      <c r="N21" s="143"/>
      <c r="O21" s="143"/>
      <c r="P21" s="143"/>
    </row>
    <row r="22" spans="1:31" s="11" customFormat="1" ht="15">
      <c r="A22" s="30" t="s">
        <v>112</v>
      </c>
      <c r="B22" s="2"/>
      <c r="C22" s="2"/>
      <c r="D22" s="2"/>
      <c r="E22" s="2"/>
      <c r="F22" s="2"/>
      <c r="G22" s="2"/>
      <c r="H22" s="2"/>
      <c r="I22" s="2"/>
      <c r="J22" s="160">
        <f>P6+P10+P11</f>
        <v>42543.240029513152</v>
      </c>
      <c r="K22" s="2"/>
      <c r="L22" s="2"/>
      <c r="M22" s="2"/>
      <c r="N22" s="2"/>
      <c r="O22" s="2"/>
      <c r="P22" s="2"/>
    </row>
    <row r="23" spans="1:31" s="11" customFormat="1" ht="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31" s="11" customFormat="1" ht="15">
      <c r="A24" s="62"/>
      <c r="B24" s="36"/>
      <c r="C24" s="36"/>
      <c r="D24" s="3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15">
      <c r="A25" s="65"/>
      <c r="B25" s="36"/>
      <c r="C25" s="36"/>
      <c r="D25" s="3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</row>
    <row r="26" spans="1:31" ht="15">
      <c r="A26" s="65"/>
      <c r="B26" s="36"/>
      <c r="C26" s="36"/>
      <c r="D26" s="3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4"/>
    </row>
    <row r="27" spans="1:31" ht="15">
      <c r="A27" s="65"/>
      <c r="B27" s="36"/>
      <c r="C27" s="36"/>
      <c r="D27" s="3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T27" s="20"/>
      <c r="V27" s="21" t="s">
        <v>84</v>
      </c>
      <c r="W27" s="22" t="s">
        <v>85</v>
      </c>
      <c r="X27" s="21" t="s">
        <v>86</v>
      </c>
      <c r="Y27" s="23"/>
      <c r="Z27" s="23"/>
      <c r="AA27" s="2" t="s">
        <v>87</v>
      </c>
      <c r="AB27" s="21" t="s">
        <v>88</v>
      </c>
      <c r="AC27" s="23"/>
      <c r="AD27" s="24"/>
    </row>
    <row r="28" spans="1:31" ht="15">
      <c r="A28" s="65"/>
      <c r="B28" s="36"/>
      <c r="C28" s="36"/>
      <c r="D28" s="3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R28" s="143"/>
      <c r="T28" s="20"/>
      <c r="V28" s="25" t="s">
        <v>89</v>
      </c>
      <c r="X28" s="26" t="s">
        <v>113</v>
      </c>
      <c r="Y28" s="26"/>
      <c r="Z28" s="26"/>
      <c r="AB28" s="26" t="s">
        <v>114</v>
      </c>
      <c r="AC28" s="27"/>
      <c r="AD28" s="28"/>
    </row>
    <row r="29" spans="1:31" ht="15">
      <c r="A29" s="65"/>
      <c r="C29" s="36"/>
      <c r="D29" s="3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T29" s="32" t="s">
        <v>93</v>
      </c>
      <c r="V29" s="33" t="str">
        <f t="shared" ref="V29:V34" si="12">V6</f>
        <v>Flows 2023-2030</v>
      </c>
      <c r="X29" s="63">
        <f>Y29-0.01</f>
        <v>0.01</v>
      </c>
      <c r="Y29" s="63">
        <f>termgrowth</f>
        <v>0.02</v>
      </c>
      <c r="Z29" s="63">
        <f>Y29+0.01</f>
        <v>0.03</v>
      </c>
      <c r="AB29" s="63">
        <f>AC29-0.01</f>
        <v>0.01</v>
      </c>
      <c r="AC29" s="63">
        <f>termgrowth</f>
        <v>0.02</v>
      </c>
      <c r="AD29" s="64">
        <f>AC29+0.01</f>
        <v>0.03</v>
      </c>
    </row>
    <row r="30" spans="1:31" ht="15">
      <c r="A30" s="65"/>
      <c r="C30" s="36"/>
      <c r="D30" s="3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T30" s="39">
        <f>T31-0.005</f>
        <v>7.4807909999999991E-2</v>
      </c>
      <c r="V30" s="145">
        <f t="shared" si="12"/>
        <v>57164.716165266233</v>
      </c>
      <c r="W30" s="40"/>
      <c r="X30" s="40">
        <f>$P$15*(1+X$29)/($T30-X$29)*(1/(1+$T30)^8)</f>
        <v>177757.66754537655</v>
      </c>
      <c r="Y30" s="40">
        <f>$P$15*(1+Y$29)/($T30-Y$29)*(1/(1+$T30)^8)</f>
        <v>212271.61088686064</v>
      </c>
      <c r="Z30" s="40">
        <f>$P$15*(1+Z$29)/($T30-Z$29)*(1/(1+$T30)^8)</f>
        <v>262190.84465205966</v>
      </c>
      <c r="AB30" s="40">
        <f t="shared" ref="AB30:AD34" si="13">$V30+X30</f>
        <v>234922.38371064278</v>
      </c>
      <c r="AC30" s="165">
        <f t="shared" si="13"/>
        <v>269436.32705212687</v>
      </c>
      <c r="AD30" s="41">
        <f t="shared" si="13"/>
        <v>319355.5608173259</v>
      </c>
    </row>
    <row r="31" spans="1:31" ht="15">
      <c r="A31" s="65"/>
      <c r="B31" s="36"/>
      <c r="C31" s="36"/>
      <c r="D31" s="3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T31" s="39">
        <f>T32-0.005</f>
        <v>7.9807909999999996E-2</v>
      </c>
      <c r="V31" s="42">
        <f t="shared" si="12"/>
        <v>55759.508111841067</v>
      </c>
      <c r="W31" s="42"/>
      <c r="X31" s="40">
        <f t="shared" ref="X31:Z34" si="14">$P$15*(1+X$29)/($T31-X$29)*(1/(1+$T31)^8)</f>
        <v>159010.76198911341</v>
      </c>
      <c r="Y31" s="40">
        <f t="shared" si="14"/>
        <v>187435.27438087758</v>
      </c>
      <c r="Z31" s="40">
        <f t="shared" si="14"/>
        <v>227273.44070502481</v>
      </c>
      <c r="AB31" s="42">
        <f t="shared" si="13"/>
        <v>214770.27010095448</v>
      </c>
      <c r="AC31" s="163">
        <f t="shared" si="13"/>
        <v>243194.78249271866</v>
      </c>
      <c r="AD31" s="43">
        <f t="shared" si="13"/>
        <v>283032.94881686586</v>
      </c>
    </row>
    <row r="32" spans="1:31" ht="15">
      <c r="A32" s="65"/>
      <c r="B32" s="36"/>
      <c r="C32" s="36"/>
      <c r="D32" s="3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T32" s="44">
        <f>rate</f>
        <v>8.480791E-2</v>
      </c>
      <c r="V32" s="42">
        <f t="shared" si="12"/>
        <v>54400.392102421516</v>
      </c>
      <c r="W32" s="42"/>
      <c r="X32" s="40">
        <f t="shared" si="14"/>
        <v>142998.97456604568</v>
      </c>
      <c r="Y32" s="40">
        <f t="shared" si="14"/>
        <v>166698.32138886148</v>
      </c>
      <c r="Z32" s="40">
        <f t="shared" si="14"/>
        <v>199045.81656209455</v>
      </c>
      <c r="AB32" s="163">
        <f t="shared" si="13"/>
        <v>197399.36666846721</v>
      </c>
      <c r="AC32" s="163">
        <f t="shared" si="13"/>
        <v>221098.71349128301</v>
      </c>
      <c r="AD32" s="164">
        <f t="shared" si="13"/>
        <v>253446.20866451607</v>
      </c>
    </row>
    <row r="33" spans="1:30" ht="15">
      <c r="A33" s="65"/>
      <c r="B33" s="36"/>
      <c r="C33" s="36"/>
      <c r="D33" s="3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T33" s="39">
        <f>T32+0.005</f>
        <v>8.9807910000000005E-2</v>
      </c>
      <c r="V33" s="42">
        <f t="shared" si="12"/>
        <v>53085.569672118581</v>
      </c>
      <c r="W33" s="42"/>
      <c r="X33" s="40">
        <f t="shared" si="14"/>
        <v>129198.5402613363</v>
      </c>
      <c r="Y33" s="40">
        <f t="shared" si="14"/>
        <v>149168.70065970416</v>
      </c>
      <c r="Z33" s="40">
        <f t="shared" si="14"/>
        <v>175816.961128236</v>
      </c>
      <c r="AB33" s="42">
        <f t="shared" si="13"/>
        <v>182284.10993345489</v>
      </c>
      <c r="AC33" s="163">
        <f t="shared" si="13"/>
        <v>202254.27033182274</v>
      </c>
      <c r="AD33" s="43">
        <f t="shared" si="13"/>
        <v>228902.53080035458</v>
      </c>
    </row>
    <row r="34" spans="1:30" ht="15">
      <c r="A34" s="65"/>
      <c r="B34" s="36"/>
      <c r="C34" s="36"/>
      <c r="D34" s="3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T34" s="39">
        <f>T33+0.005</f>
        <v>9.4807910000000009E-2</v>
      </c>
      <c r="V34" s="42">
        <f t="shared" si="12"/>
        <v>51813.322325935325</v>
      </c>
      <c r="W34" s="42"/>
      <c r="X34" s="40">
        <f t="shared" si="14"/>
        <v>117209.66312840125</v>
      </c>
      <c r="Y34" s="40">
        <f t="shared" si="14"/>
        <v>134193.36856988148</v>
      </c>
      <c r="Z34" s="40">
        <f t="shared" si="14"/>
        <v>156418.31861915113</v>
      </c>
      <c r="AB34" s="42">
        <f t="shared" si="13"/>
        <v>169022.98545433657</v>
      </c>
      <c r="AC34" s="163">
        <f t="shared" si="13"/>
        <v>186006.69089581681</v>
      </c>
      <c r="AD34" s="43">
        <f t="shared" si="13"/>
        <v>208231.64094508646</v>
      </c>
    </row>
    <row r="35" spans="1:30" ht="15">
      <c r="A35" s="65"/>
      <c r="B35" s="36"/>
      <c r="C35" s="36"/>
      <c r="D35" s="3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T35" s="20"/>
      <c r="AD35" s="29"/>
    </row>
    <row r="36" spans="1:30" ht="15" customHeight="1">
      <c r="T36" s="20"/>
      <c r="U36" s="2" t="s">
        <v>100</v>
      </c>
      <c r="V36" s="21" t="s">
        <v>101</v>
      </c>
      <c r="W36" s="22" t="s">
        <v>87</v>
      </c>
      <c r="X36" s="21" t="s">
        <v>102</v>
      </c>
      <c r="Y36" s="23"/>
      <c r="Z36" s="23"/>
      <c r="AB36" s="21" t="s">
        <v>103</v>
      </c>
      <c r="AC36" s="23"/>
      <c r="AD36" s="24"/>
    </row>
    <row r="37" spans="1:30" ht="15" customHeight="1">
      <c r="E37" s="52"/>
      <c r="G37" s="68"/>
      <c r="I37" s="52"/>
      <c r="J37" s="30"/>
      <c r="T37" s="20"/>
      <c r="V37" s="25"/>
      <c r="X37" s="26" t="s">
        <v>115</v>
      </c>
      <c r="Y37" s="26"/>
      <c r="Z37" s="26"/>
      <c r="AB37" s="26" t="s">
        <v>116</v>
      </c>
      <c r="AC37" s="27"/>
      <c r="AD37" s="28"/>
    </row>
    <row r="38" spans="1:30" ht="15" customHeight="1">
      <c r="E38" s="11"/>
      <c r="G38" s="69"/>
      <c r="H38" s="22"/>
      <c r="I38" s="11"/>
      <c r="T38" s="32" t="s">
        <v>93</v>
      </c>
      <c r="V38" s="33" t="s">
        <v>108</v>
      </c>
      <c r="X38" s="63">
        <f>Y38-0.01</f>
        <v>0.01</v>
      </c>
      <c r="Y38" s="63">
        <f>termgrowth</f>
        <v>0.02</v>
      </c>
      <c r="Z38" s="63">
        <f>Y38+0.01</f>
        <v>0.03</v>
      </c>
      <c r="AB38" s="63">
        <f>AC38-0.01</f>
        <v>0.01</v>
      </c>
      <c r="AC38" s="63">
        <f>termgrowth</f>
        <v>0.02</v>
      </c>
      <c r="AD38" s="64">
        <f>AC38+0.01</f>
        <v>0.03</v>
      </c>
    </row>
    <row r="39" spans="1:30" ht="15" customHeight="1">
      <c r="E39" s="30"/>
      <c r="G39" s="71"/>
      <c r="H39" s="72"/>
      <c r="I39" s="30"/>
      <c r="J39" s="30"/>
      <c r="T39" s="39">
        <f>T40-0.005</f>
        <v>7.4807909999999991E-2</v>
      </c>
      <c r="V39" s="40">
        <f>debt+prefstock+mininterest-cash</f>
        <v>13435.111999999997</v>
      </c>
      <c r="W39" s="40"/>
      <c r="X39" s="40">
        <f>AB30-$V39</f>
        <v>221487.27171064279</v>
      </c>
      <c r="Y39" s="40">
        <f t="shared" ref="X39:Z43" si="15">AC30-$V39</f>
        <v>256001.21505212688</v>
      </c>
      <c r="Z39" s="40">
        <f t="shared" si="15"/>
        <v>305920.44881732587</v>
      </c>
      <c r="AB39" s="47">
        <f>X39/sharesout</f>
        <v>496.60823253507351</v>
      </c>
      <c r="AC39" s="149">
        <f t="shared" ref="AB39:AD43" si="16">Y39/sharesout</f>
        <v>573.99375572225756</v>
      </c>
      <c r="AD39" s="48">
        <f t="shared" si="16"/>
        <v>685.92028882808495</v>
      </c>
    </row>
    <row r="40" spans="1:30" ht="15" customHeight="1" thickBot="1">
      <c r="T40" s="39">
        <f>T41-0.005</f>
        <v>7.9807909999999996E-2</v>
      </c>
      <c r="V40" s="42">
        <f>debt+prefstock+mininterest-cash</f>
        <v>13435.111999999997</v>
      </c>
      <c r="W40" s="42"/>
      <c r="X40" s="42">
        <f t="shared" si="15"/>
        <v>201335.15810095449</v>
      </c>
      <c r="Y40" s="42">
        <f t="shared" si="15"/>
        <v>229759.67049271867</v>
      </c>
      <c r="Z40" s="42">
        <f t="shared" si="15"/>
        <v>269597.83681686583</v>
      </c>
      <c r="AB40" s="49">
        <f>X40/sharesout</f>
        <v>451.42412130258856</v>
      </c>
      <c r="AC40" s="150">
        <f t="shared" si="16"/>
        <v>515.15621186708222</v>
      </c>
      <c r="AD40" s="50">
        <f t="shared" si="16"/>
        <v>604.47945474633593</v>
      </c>
    </row>
    <row r="41" spans="1:30" ht="15" customHeight="1" thickBot="1">
      <c r="T41" s="44">
        <f>rate</f>
        <v>8.480791E-2</v>
      </c>
      <c r="V41" s="42">
        <f>debt+prefstock+mininterest-cash</f>
        <v>13435.111999999997</v>
      </c>
      <c r="W41" s="42"/>
      <c r="X41" s="42">
        <f t="shared" si="15"/>
        <v>183964.25466846721</v>
      </c>
      <c r="Y41" s="42">
        <f t="shared" si="15"/>
        <v>207663.60149128301</v>
      </c>
      <c r="Z41" s="42">
        <f t="shared" si="15"/>
        <v>240011.09666451608</v>
      </c>
      <c r="AB41" s="150">
        <f t="shared" si="16"/>
        <v>412.47590732840183</v>
      </c>
      <c r="AC41" s="153">
        <f t="shared" si="16"/>
        <v>465.61345625848207</v>
      </c>
      <c r="AD41" s="152">
        <f t="shared" si="16"/>
        <v>538.14147234196435</v>
      </c>
    </row>
    <row r="42" spans="1:30" ht="15" customHeight="1">
      <c r="T42" s="39">
        <f>T41+0.005</f>
        <v>8.9807910000000005E-2</v>
      </c>
      <c r="V42" s="42">
        <f>debt+prefstock+mininterest-cash</f>
        <v>13435.111999999997</v>
      </c>
      <c r="W42" s="42"/>
      <c r="X42" s="42">
        <f t="shared" si="15"/>
        <v>168848.9979334549</v>
      </c>
      <c r="Y42" s="42">
        <f t="shared" si="15"/>
        <v>188819.15833182275</v>
      </c>
      <c r="Z42" s="42">
        <f t="shared" si="15"/>
        <v>215467.41880035459</v>
      </c>
      <c r="AB42" s="49">
        <f t="shared" si="16"/>
        <v>378.58519716021277</v>
      </c>
      <c r="AC42" s="150">
        <f t="shared" si="16"/>
        <v>423.36134155117207</v>
      </c>
      <c r="AD42" s="50">
        <f t="shared" si="16"/>
        <v>483.11080448509995</v>
      </c>
    </row>
    <row r="43" spans="1:30" ht="15" customHeight="1">
      <c r="R43" s="70"/>
      <c r="T43" s="55">
        <f>T42+0.005</f>
        <v>9.4807910000000009E-2</v>
      </c>
      <c r="U43" s="56"/>
      <c r="V43" s="57">
        <f>debt+prefstock+mininterest-cash</f>
        <v>13435.111999999997</v>
      </c>
      <c r="W43" s="57"/>
      <c r="X43" s="57">
        <f t="shared" si="15"/>
        <v>155587.87345433657</v>
      </c>
      <c r="Y43" s="57">
        <f t="shared" si="15"/>
        <v>172571.57889581681</v>
      </c>
      <c r="Z43" s="57">
        <f t="shared" si="15"/>
        <v>194796.52894508647</v>
      </c>
      <c r="AA43" s="56"/>
      <c r="AB43" s="58">
        <f t="shared" si="16"/>
        <v>348.85173420254836</v>
      </c>
      <c r="AC43" s="151">
        <f t="shared" si="16"/>
        <v>386.93179124622606</v>
      </c>
      <c r="AD43" s="59">
        <f t="shared" si="16"/>
        <v>436.76351781409522</v>
      </c>
    </row>
    <row r="44" spans="1:30" ht="6.75" customHeight="1">
      <c r="R44" s="70"/>
    </row>
    <row r="45" spans="1:30" ht="12.95" customHeight="1">
      <c r="T45" s="36" t="s">
        <v>117</v>
      </c>
    </row>
    <row r="52" spans="29:29" ht="12.95" customHeight="1">
      <c r="AC52" s="146"/>
    </row>
    <row r="54" spans="29:29" ht="12.95" customHeight="1">
      <c r="AC54" s="42"/>
    </row>
    <row r="56" spans="29:29" ht="12.95" customHeight="1">
      <c r="AC56" s="42"/>
    </row>
    <row r="57" spans="29:29" ht="12.95" customHeight="1">
      <c r="AC57" s="49"/>
    </row>
  </sheetData>
  <protectedRanges>
    <protectedRange sqref="G37" name="Range1_2"/>
  </protectedRanges>
  <conditionalFormatting sqref="G38:G39">
    <cfRule type="cellIs" dxfId="0" priority="1" stopIfTrue="1" operator="equal">
      <formula>0.000001</formula>
    </cfRule>
  </conditionalFormatting>
  <printOptions horizontalCentered="1"/>
  <pageMargins left="0.5" right="0.5" top="0.7" bottom="0.65" header="0.25" footer="0.25"/>
  <pageSetup scale="75" fitToWidth="2" orientation="landscape" r:id="rId1"/>
  <headerFooter alignWithMargins="0"/>
  <colBreaks count="1" manualBreakCount="1">
    <brk id="19" max="4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8"/>
  <sheetViews>
    <sheetView showGridLines="0" tabSelected="1" topLeftCell="A6" workbookViewId="0">
      <selection activeCell="C6" sqref="C6"/>
    </sheetView>
  </sheetViews>
  <sheetFormatPr defaultColWidth="7.7109375" defaultRowHeight="12.75"/>
  <cols>
    <col min="2" max="2" width="43.42578125" customWidth="1"/>
    <col min="4" max="4" width="24.28515625" bestFit="1" customWidth="1"/>
    <col min="5" max="5" width="1.42578125" customWidth="1"/>
    <col min="6" max="6" width="9.7109375" customWidth="1"/>
    <col min="7" max="7" width="10.7109375" customWidth="1"/>
    <col min="12" max="12" width="1.42578125" customWidth="1"/>
    <col min="258" max="258" width="43.42578125" customWidth="1"/>
    <col min="261" max="261" width="1.42578125" customWidth="1"/>
    <col min="262" max="262" width="9.7109375" customWidth="1"/>
    <col min="263" max="263" width="10.7109375" customWidth="1"/>
    <col min="268" max="268" width="1.42578125" customWidth="1"/>
    <col min="514" max="514" width="43.42578125" customWidth="1"/>
    <col min="517" max="517" width="1.42578125" customWidth="1"/>
    <col min="518" max="518" width="9.7109375" customWidth="1"/>
    <col min="519" max="519" width="10.7109375" customWidth="1"/>
    <col min="524" max="524" width="1.42578125" customWidth="1"/>
    <col min="770" max="770" width="43.42578125" customWidth="1"/>
    <col min="773" max="773" width="1.42578125" customWidth="1"/>
    <col min="774" max="774" width="9.7109375" customWidth="1"/>
    <col min="775" max="775" width="10.7109375" customWidth="1"/>
    <col min="780" max="780" width="1.42578125" customWidth="1"/>
    <col min="1026" max="1026" width="43.42578125" customWidth="1"/>
    <col min="1029" max="1029" width="1.42578125" customWidth="1"/>
    <col min="1030" max="1030" width="9.7109375" customWidth="1"/>
    <col min="1031" max="1031" width="10.7109375" customWidth="1"/>
    <col min="1036" max="1036" width="1.42578125" customWidth="1"/>
    <col min="1282" max="1282" width="43.42578125" customWidth="1"/>
    <col min="1285" max="1285" width="1.42578125" customWidth="1"/>
    <col min="1286" max="1286" width="9.7109375" customWidth="1"/>
    <col min="1287" max="1287" width="10.7109375" customWidth="1"/>
    <col min="1292" max="1292" width="1.42578125" customWidth="1"/>
    <col min="1538" max="1538" width="43.42578125" customWidth="1"/>
    <col min="1541" max="1541" width="1.42578125" customWidth="1"/>
    <col min="1542" max="1542" width="9.7109375" customWidth="1"/>
    <col min="1543" max="1543" width="10.7109375" customWidth="1"/>
    <col min="1548" max="1548" width="1.42578125" customWidth="1"/>
    <col min="1794" max="1794" width="43.42578125" customWidth="1"/>
    <col min="1797" max="1797" width="1.42578125" customWidth="1"/>
    <col min="1798" max="1798" width="9.7109375" customWidth="1"/>
    <col min="1799" max="1799" width="10.7109375" customWidth="1"/>
    <col min="1804" max="1804" width="1.42578125" customWidth="1"/>
    <col min="2050" max="2050" width="43.42578125" customWidth="1"/>
    <col min="2053" max="2053" width="1.42578125" customWidth="1"/>
    <col min="2054" max="2054" width="9.7109375" customWidth="1"/>
    <col min="2055" max="2055" width="10.7109375" customWidth="1"/>
    <col min="2060" max="2060" width="1.42578125" customWidth="1"/>
    <col min="2306" max="2306" width="43.42578125" customWidth="1"/>
    <col min="2309" max="2309" width="1.42578125" customWidth="1"/>
    <col min="2310" max="2310" width="9.7109375" customWidth="1"/>
    <col min="2311" max="2311" width="10.7109375" customWidth="1"/>
    <col min="2316" max="2316" width="1.42578125" customWidth="1"/>
    <col min="2562" max="2562" width="43.42578125" customWidth="1"/>
    <col min="2565" max="2565" width="1.42578125" customWidth="1"/>
    <col min="2566" max="2566" width="9.7109375" customWidth="1"/>
    <col min="2567" max="2567" width="10.7109375" customWidth="1"/>
    <col min="2572" max="2572" width="1.42578125" customWidth="1"/>
    <col min="2818" max="2818" width="43.42578125" customWidth="1"/>
    <col min="2821" max="2821" width="1.42578125" customWidth="1"/>
    <col min="2822" max="2822" width="9.7109375" customWidth="1"/>
    <col min="2823" max="2823" width="10.7109375" customWidth="1"/>
    <col min="2828" max="2828" width="1.42578125" customWidth="1"/>
    <col min="3074" max="3074" width="43.42578125" customWidth="1"/>
    <col min="3077" max="3077" width="1.42578125" customWidth="1"/>
    <col min="3078" max="3078" width="9.7109375" customWidth="1"/>
    <col min="3079" max="3079" width="10.7109375" customWidth="1"/>
    <col min="3084" max="3084" width="1.42578125" customWidth="1"/>
    <col min="3330" max="3330" width="43.42578125" customWidth="1"/>
    <col min="3333" max="3333" width="1.42578125" customWidth="1"/>
    <col min="3334" max="3334" width="9.7109375" customWidth="1"/>
    <col min="3335" max="3335" width="10.7109375" customWidth="1"/>
    <col min="3340" max="3340" width="1.42578125" customWidth="1"/>
    <col min="3586" max="3586" width="43.42578125" customWidth="1"/>
    <col min="3589" max="3589" width="1.42578125" customWidth="1"/>
    <col min="3590" max="3590" width="9.7109375" customWidth="1"/>
    <col min="3591" max="3591" width="10.7109375" customWidth="1"/>
    <col min="3596" max="3596" width="1.42578125" customWidth="1"/>
    <col min="3842" max="3842" width="43.42578125" customWidth="1"/>
    <col min="3845" max="3845" width="1.42578125" customWidth="1"/>
    <col min="3846" max="3846" width="9.7109375" customWidth="1"/>
    <col min="3847" max="3847" width="10.7109375" customWidth="1"/>
    <col min="3852" max="3852" width="1.42578125" customWidth="1"/>
    <col min="4098" max="4098" width="43.42578125" customWidth="1"/>
    <col min="4101" max="4101" width="1.42578125" customWidth="1"/>
    <col min="4102" max="4102" width="9.7109375" customWidth="1"/>
    <col min="4103" max="4103" width="10.7109375" customWidth="1"/>
    <col min="4108" max="4108" width="1.42578125" customWidth="1"/>
    <col min="4354" max="4354" width="43.42578125" customWidth="1"/>
    <col min="4357" max="4357" width="1.42578125" customWidth="1"/>
    <col min="4358" max="4358" width="9.7109375" customWidth="1"/>
    <col min="4359" max="4359" width="10.7109375" customWidth="1"/>
    <col min="4364" max="4364" width="1.42578125" customWidth="1"/>
    <col min="4610" max="4610" width="43.42578125" customWidth="1"/>
    <col min="4613" max="4613" width="1.42578125" customWidth="1"/>
    <col min="4614" max="4614" width="9.7109375" customWidth="1"/>
    <col min="4615" max="4615" width="10.7109375" customWidth="1"/>
    <col min="4620" max="4620" width="1.42578125" customWidth="1"/>
    <col min="4866" max="4866" width="43.42578125" customWidth="1"/>
    <col min="4869" max="4869" width="1.42578125" customWidth="1"/>
    <col min="4870" max="4870" width="9.7109375" customWidth="1"/>
    <col min="4871" max="4871" width="10.7109375" customWidth="1"/>
    <col min="4876" max="4876" width="1.42578125" customWidth="1"/>
    <col min="5122" max="5122" width="43.42578125" customWidth="1"/>
    <col min="5125" max="5125" width="1.42578125" customWidth="1"/>
    <col min="5126" max="5126" width="9.7109375" customWidth="1"/>
    <col min="5127" max="5127" width="10.7109375" customWidth="1"/>
    <col min="5132" max="5132" width="1.42578125" customWidth="1"/>
    <col min="5378" max="5378" width="43.42578125" customWidth="1"/>
    <col min="5381" max="5381" width="1.42578125" customWidth="1"/>
    <col min="5382" max="5382" width="9.7109375" customWidth="1"/>
    <col min="5383" max="5383" width="10.7109375" customWidth="1"/>
    <col min="5388" max="5388" width="1.42578125" customWidth="1"/>
    <col min="5634" max="5634" width="43.42578125" customWidth="1"/>
    <col min="5637" max="5637" width="1.42578125" customWidth="1"/>
    <col min="5638" max="5638" width="9.7109375" customWidth="1"/>
    <col min="5639" max="5639" width="10.7109375" customWidth="1"/>
    <col min="5644" max="5644" width="1.42578125" customWidth="1"/>
    <col min="5890" max="5890" width="43.42578125" customWidth="1"/>
    <col min="5893" max="5893" width="1.42578125" customWidth="1"/>
    <col min="5894" max="5894" width="9.7109375" customWidth="1"/>
    <col min="5895" max="5895" width="10.7109375" customWidth="1"/>
    <col min="5900" max="5900" width="1.42578125" customWidth="1"/>
    <col min="6146" max="6146" width="43.42578125" customWidth="1"/>
    <col min="6149" max="6149" width="1.42578125" customWidth="1"/>
    <col min="6150" max="6150" width="9.7109375" customWidth="1"/>
    <col min="6151" max="6151" width="10.7109375" customWidth="1"/>
    <col min="6156" max="6156" width="1.42578125" customWidth="1"/>
    <col min="6402" max="6402" width="43.42578125" customWidth="1"/>
    <col min="6405" max="6405" width="1.42578125" customWidth="1"/>
    <col min="6406" max="6406" width="9.7109375" customWidth="1"/>
    <col min="6407" max="6407" width="10.7109375" customWidth="1"/>
    <col min="6412" max="6412" width="1.42578125" customWidth="1"/>
    <col min="6658" max="6658" width="43.42578125" customWidth="1"/>
    <col min="6661" max="6661" width="1.42578125" customWidth="1"/>
    <col min="6662" max="6662" width="9.7109375" customWidth="1"/>
    <col min="6663" max="6663" width="10.7109375" customWidth="1"/>
    <col min="6668" max="6668" width="1.42578125" customWidth="1"/>
    <col min="6914" max="6914" width="43.42578125" customWidth="1"/>
    <col min="6917" max="6917" width="1.42578125" customWidth="1"/>
    <col min="6918" max="6918" width="9.7109375" customWidth="1"/>
    <col min="6919" max="6919" width="10.7109375" customWidth="1"/>
    <col min="6924" max="6924" width="1.42578125" customWidth="1"/>
    <col min="7170" max="7170" width="43.42578125" customWidth="1"/>
    <col min="7173" max="7173" width="1.42578125" customWidth="1"/>
    <col min="7174" max="7174" width="9.7109375" customWidth="1"/>
    <col min="7175" max="7175" width="10.7109375" customWidth="1"/>
    <col min="7180" max="7180" width="1.42578125" customWidth="1"/>
    <col min="7426" max="7426" width="43.42578125" customWidth="1"/>
    <col min="7429" max="7429" width="1.42578125" customWidth="1"/>
    <col min="7430" max="7430" width="9.7109375" customWidth="1"/>
    <col min="7431" max="7431" width="10.7109375" customWidth="1"/>
    <col min="7436" max="7436" width="1.42578125" customWidth="1"/>
    <col min="7682" max="7682" width="43.42578125" customWidth="1"/>
    <col min="7685" max="7685" width="1.42578125" customWidth="1"/>
    <col min="7686" max="7686" width="9.7109375" customWidth="1"/>
    <col min="7687" max="7687" width="10.7109375" customWidth="1"/>
    <col min="7692" max="7692" width="1.42578125" customWidth="1"/>
    <col min="7938" max="7938" width="43.42578125" customWidth="1"/>
    <col min="7941" max="7941" width="1.42578125" customWidth="1"/>
    <col min="7942" max="7942" width="9.7109375" customWidth="1"/>
    <col min="7943" max="7943" width="10.7109375" customWidth="1"/>
    <col min="7948" max="7948" width="1.42578125" customWidth="1"/>
    <col min="8194" max="8194" width="43.42578125" customWidth="1"/>
    <col min="8197" max="8197" width="1.42578125" customWidth="1"/>
    <col min="8198" max="8198" width="9.7109375" customWidth="1"/>
    <col min="8199" max="8199" width="10.7109375" customWidth="1"/>
    <col min="8204" max="8204" width="1.42578125" customWidth="1"/>
    <col min="8450" max="8450" width="43.42578125" customWidth="1"/>
    <col min="8453" max="8453" width="1.42578125" customWidth="1"/>
    <col min="8454" max="8454" width="9.7109375" customWidth="1"/>
    <col min="8455" max="8455" width="10.7109375" customWidth="1"/>
    <col min="8460" max="8460" width="1.42578125" customWidth="1"/>
    <col min="8706" max="8706" width="43.42578125" customWidth="1"/>
    <col min="8709" max="8709" width="1.42578125" customWidth="1"/>
    <col min="8710" max="8710" width="9.7109375" customWidth="1"/>
    <col min="8711" max="8711" width="10.7109375" customWidth="1"/>
    <col min="8716" max="8716" width="1.42578125" customWidth="1"/>
    <col min="8962" max="8962" width="43.42578125" customWidth="1"/>
    <col min="8965" max="8965" width="1.42578125" customWidth="1"/>
    <col min="8966" max="8966" width="9.7109375" customWidth="1"/>
    <col min="8967" max="8967" width="10.7109375" customWidth="1"/>
    <col min="8972" max="8972" width="1.42578125" customWidth="1"/>
    <col min="9218" max="9218" width="43.42578125" customWidth="1"/>
    <col min="9221" max="9221" width="1.42578125" customWidth="1"/>
    <col min="9222" max="9222" width="9.7109375" customWidth="1"/>
    <col min="9223" max="9223" width="10.7109375" customWidth="1"/>
    <col min="9228" max="9228" width="1.42578125" customWidth="1"/>
    <col min="9474" max="9474" width="43.42578125" customWidth="1"/>
    <col min="9477" max="9477" width="1.42578125" customWidth="1"/>
    <col min="9478" max="9478" width="9.7109375" customWidth="1"/>
    <col min="9479" max="9479" width="10.7109375" customWidth="1"/>
    <col min="9484" max="9484" width="1.42578125" customWidth="1"/>
    <col min="9730" max="9730" width="43.42578125" customWidth="1"/>
    <col min="9733" max="9733" width="1.42578125" customWidth="1"/>
    <col min="9734" max="9734" width="9.7109375" customWidth="1"/>
    <col min="9735" max="9735" width="10.7109375" customWidth="1"/>
    <col min="9740" max="9740" width="1.42578125" customWidth="1"/>
    <col min="9986" max="9986" width="43.42578125" customWidth="1"/>
    <col min="9989" max="9989" width="1.42578125" customWidth="1"/>
    <col min="9990" max="9990" width="9.7109375" customWidth="1"/>
    <col min="9991" max="9991" width="10.7109375" customWidth="1"/>
    <col min="9996" max="9996" width="1.42578125" customWidth="1"/>
    <col min="10242" max="10242" width="43.42578125" customWidth="1"/>
    <col min="10245" max="10245" width="1.42578125" customWidth="1"/>
    <col min="10246" max="10246" width="9.7109375" customWidth="1"/>
    <col min="10247" max="10247" width="10.7109375" customWidth="1"/>
    <col min="10252" max="10252" width="1.42578125" customWidth="1"/>
    <col min="10498" max="10498" width="43.42578125" customWidth="1"/>
    <col min="10501" max="10501" width="1.42578125" customWidth="1"/>
    <col min="10502" max="10502" width="9.7109375" customWidth="1"/>
    <col min="10503" max="10503" width="10.7109375" customWidth="1"/>
    <col min="10508" max="10508" width="1.42578125" customWidth="1"/>
    <col min="10754" max="10754" width="43.42578125" customWidth="1"/>
    <col min="10757" max="10757" width="1.42578125" customWidth="1"/>
    <col min="10758" max="10758" width="9.7109375" customWidth="1"/>
    <col min="10759" max="10759" width="10.7109375" customWidth="1"/>
    <col min="10764" max="10764" width="1.42578125" customWidth="1"/>
    <col min="11010" max="11010" width="43.42578125" customWidth="1"/>
    <col min="11013" max="11013" width="1.42578125" customWidth="1"/>
    <col min="11014" max="11014" width="9.7109375" customWidth="1"/>
    <col min="11015" max="11015" width="10.7109375" customWidth="1"/>
    <col min="11020" max="11020" width="1.42578125" customWidth="1"/>
    <col min="11266" max="11266" width="43.42578125" customWidth="1"/>
    <col min="11269" max="11269" width="1.42578125" customWidth="1"/>
    <col min="11270" max="11270" width="9.7109375" customWidth="1"/>
    <col min="11271" max="11271" width="10.7109375" customWidth="1"/>
    <col min="11276" max="11276" width="1.42578125" customWidth="1"/>
    <col min="11522" max="11522" width="43.42578125" customWidth="1"/>
    <col min="11525" max="11525" width="1.42578125" customWidth="1"/>
    <col min="11526" max="11526" width="9.7109375" customWidth="1"/>
    <col min="11527" max="11527" width="10.7109375" customWidth="1"/>
    <col min="11532" max="11532" width="1.42578125" customWidth="1"/>
    <col min="11778" max="11778" width="43.42578125" customWidth="1"/>
    <col min="11781" max="11781" width="1.42578125" customWidth="1"/>
    <col min="11782" max="11782" width="9.7109375" customWidth="1"/>
    <col min="11783" max="11783" width="10.7109375" customWidth="1"/>
    <col min="11788" max="11788" width="1.42578125" customWidth="1"/>
    <col min="12034" max="12034" width="43.42578125" customWidth="1"/>
    <col min="12037" max="12037" width="1.42578125" customWidth="1"/>
    <col min="12038" max="12038" width="9.7109375" customWidth="1"/>
    <col min="12039" max="12039" width="10.7109375" customWidth="1"/>
    <col min="12044" max="12044" width="1.42578125" customWidth="1"/>
    <col min="12290" max="12290" width="43.42578125" customWidth="1"/>
    <col min="12293" max="12293" width="1.42578125" customWidth="1"/>
    <col min="12294" max="12294" width="9.7109375" customWidth="1"/>
    <col min="12295" max="12295" width="10.7109375" customWidth="1"/>
    <col min="12300" max="12300" width="1.42578125" customWidth="1"/>
    <col min="12546" max="12546" width="43.42578125" customWidth="1"/>
    <col min="12549" max="12549" width="1.42578125" customWidth="1"/>
    <col min="12550" max="12550" width="9.7109375" customWidth="1"/>
    <col min="12551" max="12551" width="10.7109375" customWidth="1"/>
    <col min="12556" max="12556" width="1.42578125" customWidth="1"/>
    <col min="12802" max="12802" width="43.42578125" customWidth="1"/>
    <col min="12805" max="12805" width="1.42578125" customWidth="1"/>
    <col min="12806" max="12806" width="9.7109375" customWidth="1"/>
    <col min="12807" max="12807" width="10.7109375" customWidth="1"/>
    <col min="12812" max="12812" width="1.42578125" customWidth="1"/>
    <col min="13058" max="13058" width="43.42578125" customWidth="1"/>
    <col min="13061" max="13061" width="1.42578125" customWidth="1"/>
    <col min="13062" max="13062" width="9.7109375" customWidth="1"/>
    <col min="13063" max="13063" width="10.7109375" customWidth="1"/>
    <col min="13068" max="13068" width="1.42578125" customWidth="1"/>
    <col min="13314" max="13314" width="43.42578125" customWidth="1"/>
    <col min="13317" max="13317" width="1.42578125" customWidth="1"/>
    <col min="13318" max="13318" width="9.7109375" customWidth="1"/>
    <col min="13319" max="13319" width="10.7109375" customWidth="1"/>
    <col min="13324" max="13324" width="1.42578125" customWidth="1"/>
    <col min="13570" max="13570" width="43.42578125" customWidth="1"/>
    <col min="13573" max="13573" width="1.42578125" customWidth="1"/>
    <col min="13574" max="13574" width="9.7109375" customWidth="1"/>
    <col min="13575" max="13575" width="10.7109375" customWidth="1"/>
    <col min="13580" max="13580" width="1.42578125" customWidth="1"/>
    <col min="13826" max="13826" width="43.42578125" customWidth="1"/>
    <col min="13829" max="13829" width="1.42578125" customWidth="1"/>
    <col min="13830" max="13830" width="9.7109375" customWidth="1"/>
    <col min="13831" max="13831" width="10.7109375" customWidth="1"/>
    <col min="13836" max="13836" width="1.42578125" customWidth="1"/>
    <col min="14082" max="14082" width="43.42578125" customWidth="1"/>
    <col min="14085" max="14085" width="1.42578125" customWidth="1"/>
    <col min="14086" max="14086" width="9.7109375" customWidth="1"/>
    <col min="14087" max="14087" width="10.7109375" customWidth="1"/>
    <col min="14092" max="14092" width="1.42578125" customWidth="1"/>
    <col min="14338" max="14338" width="43.42578125" customWidth="1"/>
    <col min="14341" max="14341" width="1.42578125" customWidth="1"/>
    <col min="14342" max="14342" width="9.7109375" customWidth="1"/>
    <col min="14343" max="14343" width="10.7109375" customWidth="1"/>
    <col min="14348" max="14348" width="1.42578125" customWidth="1"/>
    <col min="14594" max="14594" width="43.42578125" customWidth="1"/>
    <col min="14597" max="14597" width="1.42578125" customWidth="1"/>
    <col min="14598" max="14598" width="9.7109375" customWidth="1"/>
    <col min="14599" max="14599" width="10.7109375" customWidth="1"/>
    <col min="14604" max="14604" width="1.42578125" customWidth="1"/>
    <col min="14850" max="14850" width="43.42578125" customWidth="1"/>
    <col min="14853" max="14853" width="1.42578125" customWidth="1"/>
    <col min="14854" max="14854" width="9.7109375" customWidth="1"/>
    <col min="14855" max="14855" width="10.7109375" customWidth="1"/>
    <col min="14860" max="14860" width="1.42578125" customWidth="1"/>
    <col min="15106" max="15106" width="43.42578125" customWidth="1"/>
    <col min="15109" max="15109" width="1.42578125" customWidth="1"/>
    <col min="15110" max="15110" width="9.7109375" customWidth="1"/>
    <col min="15111" max="15111" width="10.7109375" customWidth="1"/>
    <col min="15116" max="15116" width="1.42578125" customWidth="1"/>
    <col min="15362" max="15362" width="43.42578125" customWidth="1"/>
    <col min="15365" max="15365" width="1.42578125" customWidth="1"/>
    <col min="15366" max="15366" width="9.7109375" customWidth="1"/>
    <col min="15367" max="15367" width="10.7109375" customWidth="1"/>
    <col min="15372" max="15372" width="1.42578125" customWidth="1"/>
    <col min="15618" max="15618" width="43.42578125" customWidth="1"/>
    <col min="15621" max="15621" width="1.42578125" customWidth="1"/>
    <col min="15622" max="15622" width="9.7109375" customWidth="1"/>
    <col min="15623" max="15623" width="10.7109375" customWidth="1"/>
    <col min="15628" max="15628" width="1.42578125" customWidth="1"/>
    <col min="15874" max="15874" width="43.42578125" customWidth="1"/>
    <col min="15877" max="15877" width="1.42578125" customWidth="1"/>
    <col min="15878" max="15878" width="9.7109375" customWidth="1"/>
    <col min="15879" max="15879" width="10.7109375" customWidth="1"/>
    <col min="15884" max="15884" width="1.42578125" customWidth="1"/>
    <col min="16130" max="16130" width="43.42578125" customWidth="1"/>
    <col min="16133" max="16133" width="1.42578125" customWidth="1"/>
    <col min="16134" max="16134" width="9.7109375" customWidth="1"/>
    <col min="16135" max="16135" width="10.7109375" customWidth="1"/>
    <col min="16140" max="16140" width="1.42578125" customWidth="1"/>
  </cols>
  <sheetData>
    <row r="1" spans="2:9">
      <c r="B1" s="155"/>
      <c r="C1" s="155"/>
      <c r="D1" s="155"/>
      <c r="E1" s="155"/>
      <c r="F1" s="155" t="s">
        <v>118</v>
      </c>
      <c r="G1" s="155"/>
    </row>
    <row r="2" spans="2:9">
      <c r="B2" s="156" t="s">
        <v>119</v>
      </c>
      <c r="C2" s="155"/>
      <c r="D2" s="155" t="s">
        <v>120</v>
      </c>
      <c r="E2" s="155"/>
      <c r="F2" s="156" t="s">
        <v>121</v>
      </c>
      <c r="G2" s="156" t="s">
        <v>122</v>
      </c>
    </row>
    <row r="3" spans="2:9">
      <c r="B3" s="155" t="s">
        <v>123</v>
      </c>
      <c r="C3" s="168">
        <f>F3</f>
        <v>348.85173420254836</v>
      </c>
      <c r="D3" s="157">
        <f>G3-F3</f>
        <v>337.06855462553659</v>
      </c>
      <c r="E3" s="157"/>
      <c r="F3" s="158">
        <f>MIN('DCFStand Alone'!AB39:AD43)</f>
        <v>348.85173420254836</v>
      </c>
      <c r="G3" s="158">
        <f>MAX('DCFStand Alone'!AB39:AD43)</f>
        <v>685.92028882808495</v>
      </c>
      <c r="H3" s="154"/>
      <c r="I3" t="s">
        <v>124</v>
      </c>
    </row>
    <row r="4" spans="2:9">
      <c r="B4" s="155" t="s">
        <v>125</v>
      </c>
      <c r="C4" s="168">
        <f>F4</f>
        <v>512.50702907043899</v>
      </c>
      <c r="D4" s="157">
        <f>G4-F4</f>
        <v>161.82745039649706</v>
      </c>
      <c r="E4" s="155"/>
      <c r="F4" s="158">
        <f>MIN('DCFStand Alone'!AB16:AD20)</f>
        <v>512.50702907043899</v>
      </c>
      <c r="G4" s="158">
        <f>MAX('DCFStand Alone'!AB16:AD20)</f>
        <v>674.33447946693605</v>
      </c>
      <c r="H4" s="154"/>
      <c r="I4" s="154" t="s">
        <v>126</v>
      </c>
    </row>
    <row r="5" spans="2:9">
      <c r="B5" s="155" t="s">
        <v>127</v>
      </c>
      <c r="C5" s="168">
        <v>277.54206682559175</v>
      </c>
      <c r="D5" s="157">
        <v>203.64170214121998</v>
      </c>
      <c r="E5" s="155"/>
      <c r="F5" s="158">
        <v>277.54206682559175</v>
      </c>
      <c r="G5" s="158">
        <v>481.18376896681173</v>
      </c>
      <c r="H5" s="154"/>
      <c r="I5" s="154"/>
    </row>
    <row r="6" spans="2:9">
      <c r="B6" s="155" t="s">
        <v>128</v>
      </c>
      <c r="C6" s="168">
        <v>459.87098211805426</v>
      </c>
      <c r="D6" s="157">
        <v>144.2325362457633</v>
      </c>
      <c r="E6" s="155"/>
      <c r="F6" s="158">
        <v>459.87098211805426</v>
      </c>
      <c r="G6" s="158">
        <v>604.10351836381756</v>
      </c>
      <c r="H6" s="154"/>
      <c r="I6" s="154"/>
    </row>
    <row r="7" spans="2:9">
      <c r="B7" s="155" t="s">
        <v>129</v>
      </c>
      <c r="C7" s="168">
        <v>212.57673399656522</v>
      </c>
      <c r="D7" s="157">
        <v>119.80895311293591</v>
      </c>
      <c r="E7" s="155"/>
      <c r="F7" s="158">
        <v>212.57673399656522</v>
      </c>
      <c r="G7" s="158">
        <v>332.38568710950113</v>
      </c>
    </row>
    <row r="8" spans="2:9">
      <c r="B8" s="155" t="s">
        <v>130</v>
      </c>
      <c r="C8" s="168">
        <v>399.47266111017871</v>
      </c>
      <c r="D8" s="157">
        <v>124.26620209292514</v>
      </c>
      <c r="E8" s="155"/>
      <c r="F8" s="158">
        <v>399.47266111017871</v>
      </c>
      <c r="G8" s="158">
        <v>523.73886320310385</v>
      </c>
    </row>
  </sheetData>
  <pageMargins left="0.75" right="0.75" top="1" bottom="1" header="0.5" footer="0.5"/>
  <pageSetup scale="75" orientation="landscape" horizontalDpi="4294967293" verticalDpi="4294967293"/>
  <headerFooter alignWithMargins="0">
    <oddHeader>&amp;CValuation Summary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9B3B-F6D7-4DD2-B0B5-E3CA7ABDED59}">
  <dimension ref="A1:AJ39"/>
  <sheetViews>
    <sheetView topLeftCell="A12" workbookViewId="0">
      <selection activeCell="G39" sqref="G39"/>
    </sheetView>
  </sheetViews>
  <sheetFormatPr defaultRowHeight="12.75"/>
  <sheetData>
    <row r="1" spans="1:36" ht="15">
      <c r="A1" s="298" t="s">
        <v>131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57"/>
      <c r="AG1" s="257"/>
      <c r="AH1" s="257"/>
      <c r="AI1" s="257"/>
      <c r="AJ1" s="257"/>
    </row>
    <row r="2" spans="1:36" ht="15">
      <c r="A2" s="258" t="s">
        <v>132</v>
      </c>
      <c r="B2" s="258" t="s">
        <v>133</v>
      </c>
      <c r="C2" s="258" t="s">
        <v>134</v>
      </c>
      <c r="D2" s="258" t="s">
        <v>135</v>
      </c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</row>
    <row r="3" spans="1:36" ht="15">
      <c r="A3" s="259">
        <v>2024</v>
      </c>
      <c r="B3" s="259">
        <v>1</v>
      </c>
      <c r="C3" s="260">
        <v>400000000</v>
      </c>
      <c r="D3" s="260">
        <v>400000000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</row>
    <row r="4" spans="1:36" ht="15">
      <c r="A4" s="261" t="s">
        <v>136</v>
      </c>
      <c r="B4" s="261" t="s">
        <v>137</v>
      </c>
      <c r="C4" s="261" t="s">
        <v>138</v>
      </c>
      <c r="D4" s="261" t="s">
        <v>139</v>
      </c>
      <c r="E4" s="261" t="s">
        <v>140</v>
      </c>
      <c r="F4" s="261" t="s">
        <v>141</v>
      </c>
      <c r="G4" s="261"/>
      <c r="H4" s="261" t="s">
        <v>142</v>
      </c>
      <c r="I4" s="261" t="s">
        <v>143</v>
      </c>
      <c r="J4" s="261" t="s">
        <v>144</v>
      </c>
      <c r="K4" s="261" t="s">
        <v>145</v>
      </c>
      <c r="L4" s="261" t="s">
        <v>146</v>
      </c>
      <c r="M4" s="261" t="s">
        <v>147</v>
      </c>
      <c r="N4" s="261" t="s">
        <v>148</v>
      </c>
      <c r="O4" s="261" t="s">
        <v>149</v>
      </c>
      <c r="P4" s="261" t="s">
        <v>150</v>
      </c>
      <c r="Q4" s="261" t="s">
        <v>151</v>
      </c>
      <c r="R4" s="261" t="s">
        <v>152</v>
      </c>
      <c r="S4" s="261" t="s">
        <v>153</v>
      </c>
      <c r="T4" s="261" t="s">
        <v>154</v>
      </c>
      <c r="U4" s="261" t="s">
        <v>155</v>
      </c>
      <c r="V4" s="261" t="s">
        <v>156</v>
      </c>
      <c r="W4" s="261" t="s">
        <v>157</v>
      </c>
      <c r="X4" s="261" t="s">
        <v>158</v>
      </c>
      <c r="Y4" s="261" t="s">
        <v>159</v>
      </c>
      <c r="Z4" s="261" t="s">
        <v>160</v>
      </c>
      <c r="AA4" s="261" t="s">
        <v>161</v>
      </c>
      <c r="AB4" s="261" t="s">
        <v>162</v>
      </c>
      <c r="AC4" s="261" t="s">
        <v>163</v>
      </c>
      <c r="AD4" s="261" t="s">
        <v>164</v>
      </c>
      <c r="AE4" s="261" t="s">
        <v>165</v>
      </c>
      <c r="AF4" s="261" t="s">
        <v>166</v>
      </c>
      <c r="AG4" s="261" t="s">
        <v>167</v>
      </c>
      <c r="AH4" s="261" t="s">
        <v>168</v>
      </c>
      <c r="AI4" s="261" t="s">
        <v>169</v>
      </c>
      <c r="AJ4" s="261" t="s">
        <v>170</v>
      </c>
    </row>
    <row r="5" spans="1:36" ht="15">
      <c r="A5" s="257" t="s">
        <v>171</v>
      </c>
      <c r="B5" s="257" t="s">
        <v>172</v>
      </c>
      <c r="C5" s="262">
        <v>45352</v>
      </c>
      <c r="D5" s="263">
        <v>400000000</v>
      </c>
      <c r="E5" s="263">
        <v>400000000</v>
      </c>
      <c r="F5" s="257">
        <v>5.75</v>
      </c>
      <c r="G5" s="264">
        <v>2300000000</v>
      </c>
      <c r="H5" s="257" t="s">
        <v>173</v>
      </c>
      <c r="I5" s="257" t="s">
        <v>174</v>
      </c>
      <c r="J5" s="257" t="s">
        <v>175</v>
      </c>
      <c r="K5" s="257" t="s">
        <v>176</v>
      </c>
      <c r="L5" s="257" t="s">
        <v>177</v>
      </c>
      <c r="M5" s="257" t="s">
        <v>178</v>
      </c>
      <c r="N5" s="262">
        <v>42065</v>
      </c>
      <c r="O5" s="257" t="s">
        <v>179</v>
      </c>
      <c r="P5" s="257" t="s">
        <v>179</v>
      </c>
      <c r="Q5" s="257" t="s">
        <v>180</v>
      </c>
      <c r="R5" s="257" t="s">
        <v>181</v>
      </c>
      <c r="S5" s="257">
        <v>0.81299999999999994</v>
      </c>
      <c r="T5" s="257">
        <v>0.81299999999999994</v>
      </c>
      <c r="U5" s="257">
        <v>77.197000000000003</v>
      </c>
      <c r="V5" s="257">
        <v>5.593</v>
      </c>
      <c r="W5" s="257" t="s">
        <v>182</v>
      </c>
      <c r="X5" s="257" t="s">
        <v>183</v>
      </c>
      <c r="Y5" s="262">
        <v>45352</v>
      </c>
      <c r="Z5" s="257">
        <v>100.12</v>
      </c>
      <c r="AA5" s="257" t="s">
        <v>184</v>
      </c>
      <c r="AB5" s="257" t="s">
        <v>172</v>
      </c>
      <c r="AC5" s="257" t="s">
        <v>181</v>
      </c>
      <c r="AD5" s="257" t="s">
        <v>185</v>
      </c>
      <c r="AE5" s="257" t="s">
        <v>172</v>
      </c>
      <c r="AF5" s="257" t="s">
        <v>174</v>
      </c>
      <c r="AG5" s="257" t="s">
        <v>186</v>
      </c>
      <c r="AH5" s="257" t="s">
        <v>181</v>
      </c>
      <c r="AI5" s="257" t="s">
        <v>187</v>
      </c>
      <c r="AJ5" s="257" t="s">
        <v>184</v>
      </c>
    </row>
    <row r="6" spans="1:36" ht="15">
      <c r="A6" s="259">
        <v>2025</v>
      </c>
      <c r="B6" s="259">
        <v>5</v>
      </c>
      <c r="C6" s="260">
        <v>1816389000</v>
      </c>
      <c r="D6" s="260">
        <v>1816389000</v>
      </c>
      <c r="E6" s="257"/>
      <c r="F6" s="257"/>
      <c r="G6" s="257">
        <v>0</v>
      </c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</row>
    <row r="7" spans="1:36" ht="15">
      <c r="A7" s="261" t="s">
        <v>136</v>
      </c>
      <c r="B7" s="261" t="s">
        <v>137</v>
      </c>
      <c r="C7" s="261" t="s">
        <v>138</v>
      </c>
      <c r="D7" s="261" t="s">
        <v>139</v>
      </c>
      <c r="E7" s="261" t="s">
        <v>140</v>
      </c>
      <c r="F7" s="261" t="s">
        <v>141</v>
      </c>
      <c r="G7" s="257"/>
      <c r="H7" s="261" t="s">
        <v>142</v>
      </c>
      <c r="I7" s="261" t="s">
        <v>143</v>
      </c>
      <c r="J7" s="261" t="s">
        <v>144</v>
      </c>
      <c r="K7" s="261" t="s">
        <v>145</v>
      </c>
      <c r="L7" s="261" t="s">
        <v>146</v>
      </c>
      <c r="M7" s="261" t="s">
        <v>147</v>
      </c>
      <c r="N7" s="261" t="s">
        <v>148</v>
      </c>
      <c r="O7" s="261" t="s">
        <v>149</v>
      </c>
      <c r="P7" s="261" t="s">
        <v>150</v>
      </c>
      <c r="Q7" s="261" t="s">
        <v>151</v>
      </c>
      <c r="R7" s="261" t="s">
        <v>152</v>
      </c>
      <c r="S7" s="261" t="s">
        <v>153</v>
      </c>
      <c r="T7" s="261" t="s">
        <v>154</v>
      </c>
      <c r="U7" s="261" t="s">
        <v>155</v>
      </c>
      <c r="V7" s="261" t="s">
        <v>156</v>
      </c>
      <c r="W7" s="261" t="s">
        <v>157</v>
      </c>
      <c r="X7" s="261" t="s">
        <v>158</v>
      </c>
      <c r="Y7" s="261" t="s">
        <v>159</v>
      </c>
      <c r="Z7" s="261" t="s">
        <v>160</v>
      </c>
      <c r="AA7" s="261" t="s">
        <v>161</v>
      </c>
      <c r="AB7" s="261" t="s">
        <v>162</v>
      </c>
      <c r="AC7" s="261" t="s">
        <v>163</v>
      </c>
      <c r="AD7" s="261" t="s">
        <v>164</v>
      </c>
      <c r="AE7" s="261" t="s">
        <v>165</v>
      </c>
      <c r="AF7" s="261" t="s">
        <v>166</v>
      </c>
      <c r="AG7" s="261" t="s">
        <v>167</v>
      </c>
      <c r="AH7" s="261" t="s">
        <v>168</v>
      </c>
      <c r="AI7" s="261" t="s">
        <v>169</v>
      </c>
      <c r="AJ7" s="261" t="s">
        <v>170</v>
      </c>
    </row>
    <row r="8" spans="1:36" ht="15">
      <c r="A8" s="257" t="s">
        <v>188</v>
      </c>
      <c r="B8" s="257" t="s">
        <v>172</v>
      </c>
      <c r="C8" s="262">
        <v>45703</v>
      </c>
      <c r="D8" s="263">
        <v>800000000</v>
      </c>
      <c r="E8" s="263">
        <v>800000000</v>
      </c>
      <c r="F8" s="257">
        <v>5.875</v>
      </c>
      <c r="G8" s="264">
        <v>4700000000</v>
      </c>
      <c r="H8" s="257" t="s">
        <v>173</v>
      </c>
      <c r="I8" s="257" t="s">
        <v>174</v>
      </c>
      <c r="J8" s="257" t="s">
        <v>175</v>
      </c>
      <c r="K8" s="257" t="s">
        <v>189</v>
      </c>
      <c r="L8" s="257" t="s">
        <v>190</v>
      </c>
      <c r="M8" s="257" t="s">
        <v>191</v>
      </c>
      <c r="N8" s="262">
        <v>42405</v>
      </c>
      <c r="O8" s="257" t="s">
        <v>179</v>
      </c>
      <c r="P8" s="257" t="s">
        <v>179</v>
      </c>
      <c r="Q8" s="257" t="s">
        <v>180</v>
      </c>
      <c r="R8" s="257" t="s">
        <v>181</v>
      </c>
      <c r="S8" s="257">
        <v>1.6919999999999999</v>
      </c>
      <c r="T8" s="257">
        <v>1.6919999999999999</v>
      </c>
      <c r="U8" s="257">
        <v>85.872</v>
      </c>
      <c r="V8" s="257">
        <v>5.1440000000000001</v>
      </c>
      <c r="W8" s="257" t="s">
        <v>182</v>
      </c>
      <c r="X8" s="257" t="s">
        <v>183</v>
      </c>
      <c r="Y8" s="262">
        <v>45706</v>
      </c>
      <c r="Z8" s="257">
        <v>101.25</v>
      </c>
      <c r="AA8" s="257" t="s">
        <v>184</v>
      </c>
      <c r="AB8" s="257" t="s">
        <v>172</v>
      </c>
      <c r="AC8" s="257" t="s">
        <v>181</v>
      </c>
      <c r="AD8" s="257" t="s">
        <v>185</v>
      </c>
      <c r="AE8" s="257" t="s">
        <v>172</v>
      </c>
      <c r="AF8" s="257" t="s">
        <v>174</v>
      </c>
      <c r="AG8" s="257" t="s">
        <v>186</v>
      </c>
      <c r="AH8" s="257" t="s">
        <v>181</v>
      </c>
      <c r="AI8" s="257" t="s">
        <v>187</v>
      </c>
      <c r="AJ8" s="257" t="s">
        <v>184</v>
      </c>
    </row>
    <row r="9" spans="1:36" ht="15">
      <c r="A9" s="257" t="s">
        <v>192</v>
      </c>
      <c r="B9" s="257" t="s">
        <v>172</v>
      </c>
      <c r="C9" s="262">
        <v>45823</v>
      </c>
      <c r="D9" s="263">
        <v>500000000</v>
      </c>
      <c r="E9" s="263">
        <v>500000000</v>
      </c>
      <c r="F9" s="257">
        <v>3.625</v>
      </c>
      <c r="G9" s="264">
        <v>1812500000</v>
      </c>
      <c r="H9" s="257" t="s">
        <v>173</v>
      </c>
      <c r="I9" s="257" t="s">
        <v>174</v>
      </c>
      <c r="J9" s="257" t="s">
        <v>175</v>
      </c>
      <c r="K9" s="257" t="s">
        <v>193</v>
      </c>
      <c r="L9" s="257" t="s">
        <v>194</v>
      </c>
      <c r="M9" s="257" t="s">
        <v>195</v>
      </c>
      <c r="N9" s="262">
        <v>43949</v>
      </c>
      <c r="O9" s="257" t="s">
        <v>179</v>
      </c>
      <c r="P9" s="257" t="s">
        <v>179</v>
      </c>
      <c r="Q9" s="257" t="s">
        <v>180</v>
      </c>
      <c r="R9" s="257" t="s">
        <v>181</v>
      </c>
      <c r="S9" s="257">
        <v>1.9990000000000001</v>
      </c>
      <c r="T9" s="257">
        <v>1.958</v>
      </c>
      <c r="U9" s="257">
        <v>94.921999999999997</v>
      </c>
      <c r="V9" s="257">
        <v>5.0549999999999997</v>
      </c>
      <c r="W9" s="257" t="s">
        <v>182</v>
      </c>
      <c r="X9" s="257" t="s">
        <v>183</v>
      </c>
      <c r="Y9" s="262">
        <v>45824</v>
      </c>
      <c r="Z9" s="257">
        <v>97.13</v>
      </c>
      <c r="AA9" s="257" t="s">
        <v>184</v>
      </c>
      <c r="AB9" s="257" t="s">
        <v>172</v>
      </c>
      <c r="AC9" s="257" t="s">
        <v>181</v>
      </c>
      <c r="AD9" s="257" t="s">
        <v>196</v>
      </c>
      <c r="AE9" s="257" t="s">
        <v>172</v>
      </c>
      <c r="AF9" s="257" t="s">
        <v>174</v>
      </c>
      <c r="AG9" s="257" t="s">
        <v>186</v>
      </c>
      <c r="AH9" s="257" t="s">
        <v>181</v>
      </c>
      <c r="AI9" s="257" t="s">
        <v>187</v>
      </c>
      <c r="AJ9" s="257" t="s">
        <v>184</v>
      </c>
    </row>
    <row r="10" spans="1:36" ht="15">
      <c r="A10" s="257" t="s">
        <v>192</v>
      </c>
      <c r="B10" s="257" t="s">
        <v>197</v>
      </c>
      <c r="C10" s="262">
        <v>45823</v>
      </c>
      <c r="D10" s="263">
        <v>500000000</v>
      </c>
      <c r="E10" s="263">
        <v>500000000</v>
      </c>
      <c r="F10" s="257">
        <v>3.625</v>
      </c>
      <c r="G10" s="264">
        <v>1812500000</v>
      </c>
      <c r="H10" s="257" t="s">
        <v>173</v>
      </c>
      <c r="I10" s="257" t="s">
        <v>198</v>
      </c>
      <c r="J10" s="257" t="s">
        <v>175</v>
      </c>
      <c r="K10" s="257" t="s">
        <v>199</v>
      </c>
      <c r="L10" s="257" t="s">
        <v>200</v>
      </c>
      <c r="M10" s="257" t="s">
        <v>172</v>
      </c>
      <c r="N10" s="262">
        <v>43949</v>
      </c>
      <c r="O10" s="257" t="s">
        <v>179</v>
      </c>
      <c r="P10" s="257" t="s">
        <v>179</v>
      </c>
      <c r="Q10" s="257" t="s">
        <v>180</v>
      </c>
      <c r="R10" s="257" t="s">
        <v>181</v>
      </c>
      <c r="S10" s="257">
        <v>1.998</v>
      </c>
      <c r="T10" s="257">
        <v>1.968</v>
      </c>
      <c r="U10" s="257">
        <v>107.749</v>
      </c>
      <c r="V10" s="257">
        <v>5.1849999999999996</v>
      </c>
      <c r="W10" s="257" t="s">
        <v>201</v>
      </c>
      <c r="X10" s="257" t="s">
        <v>183</v>
      </c>
      <c r="Y10" s="262">
        <v>45824</v>
      </c>
      <c r="Z10" s="257">
        <v>96.875</v>
      </c>
      <c r="AA10" s="257" t="s">
        <v>184</v>
      </c>
      <c r="AB10" s="257" t="s">
        <v>172</v>
      </c>
      <c r="AC10" s="257" t="s">
        <v>181</v>
      </c>
      <c r="AD10" s="257" t="s">
        <v>202</v>
      </c>
      <c r="AE10" s="257" t="s">
        <v>172</v>
      </c>
      <c r="AF10" s="257" t="s">
        <v>174</v>
      </c>
      <c r="AG10" s="257" t="s">
        <v>186</v>
      </c>
      <c r="AH10" s="257" t="s">
        <v>181</v>
      </c>
      <c r="AI10" s="257" t="s">
        <v>187</v>
      </c>
      <c r="AJ10" s="257" t="s">
        <v>184</v>
      </c>
    </row>
    <row r="11" spans="1:36" ht="15">
      <c r="A11" s="257" t="s">
        <v>203</v>
      </c>
      <c r="B11" s="257" t="s">
        <v>197</v>
      </c>
      <c r="C11" s="262">
        <v>45823</v>
      </c>
      <c r="D11" s="263">
        <v>516389000</v>
      </c>
      <c r="E11" s="263">
        <v>516389000</v>
      </c>
      <c r="F11" s="257">
        <v>3</v>
      </c>
      <c r="G11" s="264">
        <v>1549167000</v>
      </c>
      <c r="H11" s="257" t="s">
        <v>173</v>
      </c>
      <c r="I11" s="257" t="s">
        <v>198</v>
      </c>
      <c r="J11" s="257" t="s">
        <v>204</v>
      </c>
      <c r="K11" s="257" t="s">
        <v>205</v>
      </c>
      <c r="L11" s="257" t="s">
        <v>206</v>
      </c>
      <c r="M11" s="257" t="s">
        <v>172</v>
      </c>
      <c r="N11" s="262">
        <v>43949</v>
      </c>
      <c r="O11" s="257" t="s">
        <v>179</v>
      </c>
      <c r="P11" s="257" t="s">
        <v>179</v>
      </c>
      <c r="Q11" s="257" t="s">
        <v>180</v>
      </c>
      <c r="R11" s="257" t="s">
        <v>181</v>
      </c>
      <c r="S11" s="257">
        <v>2.0249999999999999</v>
      </c>
      <c r="T11" s="257">
        <v>1.9379999999999999</v>
      </c>
      <c r="U11" s="257">
        <v>101.431</v>
      </c>
      <c r="V11" s="257">
        <v>3.9590000000000001</v>
      </c>
      <c r="W11" s="257" t="s">
        <v>201</v>
      </c>
      <c r="X11" s="257" t="s">
        <v>183</v>
      </c>
      <c r="Y11" s="262">
        <v>45824</v>
      </c>
      <c r="Z11" s="257">
        <v>98.126000000000005</v>
      </c>
      <c r="AA11" s="257" t="s">
        <v>184</v>
      </c>
      <c r="AB11" s="257" t="s">
        <v>172</v>
      </c>
      <c r="AC11" s="257" t="s">
        <v>181</v>
      </c>
      <c r="AD11" s="257" t="s">
        <v>202</v>
      </c>
      <c r="AE11" s="257" t="s">
        <v>172</v>
      </c>
      <c r="AF11" s="257" t="s">
        <v>174</v>
      </c>
      <c r="AG11" s="257" t="s">
        <v>186</v>
      </c>
      <c r="AH11" s="257" t="s">
        <v>181</v>
      </c>
      <c r="AI11" s="257" t="s">
        <v>187</v>
      </c>
      <c r="AJ11" s="257" t="s">
        <v>184</v>
      </c>
    </row>
    <row r="12" spans="1:36" ht="15">
      <c r="A12" s="257" t="s">
        <v>203</v>
      </c>
      <c r="B12" s="257" t="s">
        <v>172</v>
      </c>
      <c r="C12" s="262">
        <v>45823</v>
      </c>
      <c r="D12" s="263">
        <v>516389000</v>
      </c>
      <c r="E12" s="263">
        <v>516389000</v>
      </c>
      <c r="F12" s="257">
        <v>3</v>
      </c>
      <c r="G12" s="264">
        <v>1549167000</v>
      </c>
      <c r="H12" s="257" t="s">
        <v>173</v>
      </c>
      <c r="I12" s="257" t="s">
        <v>174</v>
      </c>
      <c r="J12" s="257" t="s">
        <v>204</v>
      </c>
      <c r="K12" s="257" t="s">
        <v>207</v>
      </c>
      <c r="L12" s="257" t="s">
        <v>208</v>
      </c>
      <c r="M12" s="257" t="s">
        <v>172</v>
      </c>
      <c r="N12" s="262">
        <v>43949</v>
      </c>
      <c r="O12" s="257" t="s">
        <v>179</v>
      </c>
      <c r="P12" s="257" t="s">
        <v>179</v>
      </c>
      <c r="Q12" s="257" t="s">
        <v>180</v>
      </c>
      <c r="R12" s="257" t="s">
        <v>181</v>
      </c>
      <c r="S12" s="257">
        <v>2.0249999999999999</v>
      </c>
      <c r="T12" s="257">
        <v>1.9379999999999999</v>
      </c>
      <c r="U12" s="257">
        <v>101.26900000000001</v>
      </c>
      <c r="V12" s="257">
        <v>3.919</v>
      </c>
      <c r="W12" s="257" t="s">
        <v>182</v>
      </c>
      <c r="X12" s="257" t="s">
        <v>183</v>
      </c>
      <c r="Y12" s="262">
        <v>45824</v>
      </c>
      <c r="Z12" s="257">
        <v>98.129000000000005</v>
      </c>
      <c r="AA12" s="257" t="s">
        <v>184</v>
      </c>
      <c r="AB12" s="257" t="s">
        <v>172</v>
      </c>
      <c r="AC12" s="257" t="s">
        <v>181</v>
      </c>
      <c r="AD12" s="257" t="s">
        <v>196</v>
      </c>
      <c r="AE12" s="257" t="s">
        <v>172</v>
      </c>
      <c r="AF12" s="257" t="s">
        <v>174</v>
      </c>
      <c r="AG12" s="257" t="s">
        <v>186</v>
      </c>
      <c r="AH12" s="257" t="s">
        <v>181</v>
      </c>
      <c r="AI12" s="257" t="s">
        <v>187</v>
      </c>
      <c r="AJ12" s="257" t="s">
        <v>184</v>
      </c>
    </row>
    <row r="13" spans="1:36" ht="15">
      <c r="A13" s="259">
        <v>2026</v>
      </c>
      <c r="B13" s="259">
        <v>1</v>
      </c>
      <c r="C13" s="260">
        <v>1000000000</v>
      </c>
      <c r="D13" s="260">
        <v>1000000000</v>
      </c>
      <c r="E13" s="257"/>
      <c r="F13" s="257"/>
      <c r="G13" s="257">
        <v>0</v>
      </c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</row>
    <row r="14" spans="1:36" ht="15">
      <c r="A14" s="261" t="s">
        <v>136</v>
      </c>
      <c r="B14" s="261" t="s">
        <v>137</v>
      </c>
      <c r="C14" s="261" t="s">
        <v>138</v>
      </c>
      <c r="D14" s="261" t="s">
        <v>139</v>
      </c>
      <c r="E14" s="261" t="s">
        <v>140</v>
      </c>
      <c r="F14" s="261" t="s">
        <v>141</v>
      </c>
      <c r="G14" s="257"/>
      <c r="H14" s="261" t="s">
        <v>142</v>
      </c>
      <c r="I14" s="261" t="s">
        <v>143</v>
      </c>
      <c r="J14" s="261" t="s">
        <v>144</v>
      </c>
      <c r="K14" s="261" t="s">
        <v>145</v>
      </c>
      <c r="L14" s="261" t="s">
        <v>146</v>
      </c>
      <c r="M14" s="261" t="s">
        <v>147</v>
      </c>
      <c r="N14" s="261" t="s">
        <v>148</v>
      </c>
      <c r="O14" s="261" t="s">
        <v>149</v>
      </c>
      <c r="P14" s="261" t="s">
        <v>150</v>
      </c>
      <c r="Q14" s="261" t="s">
        <v>151</v>
      </c>
      <c r="R14" s="261" t="s">
        <v>152</v>
      </c>
      <c r="S14" s="261" t="s">
        <v>153</v>
      </c>
      <c r="T14" s="261" t="s">
        <v>154</v>
      </c>
      <c r="U14" s="261" t="s">
        <v>155</v>
      </c>
      <c r="V14" s="261" t="s">
        <v>156</v>
      </c>
      <c r="W14" s="261" t="s">
        <v>157</v>
      </c>
      <c r="X14" s="261" t="s">
        <v>158</v>
      </c>
      <c r="Y14" s="261" t="s">
        <v>159</v>
      </c>
      <c r="Z14" s="261" t="s">
        <v>160</v>
      </c>
      <c r="AA14" s="261" t="s">
        <v>161</v>
      </c>
      <c r="AB14" s="261" t="s">
        <v>162</v>
      </c>
      <c r="AC14" s="261" t="s">
        <v>163</v>
      </c>
      <c r="AD14" s="261" t="s">
        <v>164</v>
      </c>
      <c r="AE14" s="261" t="s">
        <v>165</v>
      </c>
      <c r="AF14" s="261" t="s">
        <v>166</v>
      </c>
      <c r="AG14" s="261" t="s">
        <v>167</v>
      </c>
      <c r="AH14" s="261" t="s">
        <v>168</v>
      </c>
      <c r="AI14" s="261" t="s">
        <v>169</v>
      </c>
      <c r="AJ14" s="261" t="s">
        <v>170</v>
      </c>
    </row>
    <row r="15" spans="1:36" ht="15">
      <c r="A15" s="257" t="s">
        <v>209</v>
      </c>
      <c r="B15" s="257" t="s">
        <v>172</v>
      </c>
      <c r="C15" s="262">
        <v>46341</v>
      </c>
      <c r="D15" s="263">
        <v>1000000000</v>
      </c>
      <c r="E15" s="263">
        <v>1000000000</v>
      </c>
      <c r="F15" s="257">
        <v>4.375</v>
      </c>
      <c r="G15" s="264">
        <v>4375000000</v>
      </c>
      <c r="H15" s="257" t="s">
        <v>173</v>
      </c>
      <c r="I15" s="257" t="s">
        <v>174</v>
      </c>
      <c r="J15" s="257" t="s">
        <v>175</v>
      </c>
      <c r="K15" s="257" t="s">
        <v>210</v>
      </c>
      <c r="L15" s="257" t="s">
        <v>211</v>
      </c>
      <c r="M15" s="257" t="s">
        <v>212</v>
      </c>
      <c r="N15" s="262">
        <v>43045</v>
      </c>
      <c r="O15" s="257" t="s">
        <v>179</v>
      </c>
      <c r="P15" s="257" t="s">
        <v>179</v>
      </c>
      <c r="Q15" s="257" t="s">
        <v>180</v>
      </c>
      <c r="R15" s="257" t="s">
        <v>181</v>
      </c>
      <c r="S15" s="257">
        <v>3.1909999999999998</v>
      </c>
      <c r="T15" s="257">
        <v>3.1909999999999998</v>
      </c>
      <c r="U15" s="257">
        <v>88.843000000000004</v>
      </c>
      <c r="V15" s="257">
        <v>4.6980000000000004</v>
      </c>
      <c r="W15" s="257" t="s">
        <v>182</v>
      </c>
      <c r="X15" s="257" t="s">
        <v>183</v>
      </c>
      <c r="Y15" s="262">
        <v>46342</v>
      </c>
      <c r="Z15" s="257">
        <v>98.95</v>
      </c>
      <c r="AA15" s="257" t="s">
        <v>184</v>
      </c>
      <c r="AB15" s="257" t="s">
        <v>172</v>
      </c>
      <c r="AC15" s="257" t="s">
        <v>181</v>
      </c>
      <c r="AD15" s="257" t="s">
        <v>185</v>
      </c>
      <c r="AE15" s="257" t="s">
        <v>172</v>
      </c>
      <c r="AF15" s="257" t="s">
        <v>174</v>
      </c>
      <c r="AG15" s="257" t="s">
        <v>186</v>
      </c>
      <c r="AH15" s="257" t="s">
        <v>181</v>
      </c>
      <c r="AI15" s="257" t="s">
        <v>187</v>
      </c>
      <c r="AJ15" s="257" t="s">
        <v>184</v>
      </c>
    </row>
    <row r="16" spans="1:36" ht="15">
      <c r="A16" s="259">
        <v>2027</v>
      </c>
      <c r="B16" s="259">
        <v>1</v>
      </c>
      <c r="C16" s="260">
        <v>1428310000</v>
      </c>
      <c r="D16" s="260">
        <v>1428310000</v>
      </c>
      <c r="E16" s="257"/>
      <c r="F16" s="257"/>
      <c r="G16" s="257">
        <v>0</v>
      </c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</row>
    <row r="17" spans="1:36" ht="15">
      <c r="A17" s="261" t="s">
        <v>136</v>
      </c>
      <c r="B17" s="261" t="s">
        <v>137</v>
      </c>
      <c r="C17" s="261" t="s">
        <v>138</v>
      </c>
      <c r="D17" s="261" t="s">
        <v>139</v>
      </c>
      <c r="E17" s="261" t="s">
        <v>140</v>
      </c>
      <c r="F17" s="261" t="s">
        <v>141</v>
      </c>
      <c r="G17" s="257"/>
      <c r="H17" s="261" t="s">
        <v>142</v>
      </c>
      <c r="I17" s="261" t="s">
        <v>143</v>
      </c>
      <c r="J17" s="261" t="s">
        <v>144</v>
      </c>
      <c r="K17" s="261" t="s">
        <v>145</v>
      </c>
      <c r="L17" s="261" t="s">
        <v>146</v>
      </c>
      <c r="M17" s="261" t="s">
        <v>147</v>
      </c>
      <c r="N17" s="261" t="s">
        <v>148</v>
      </c>
      <c r="O17" s="261" t="s">
        <v>149</v>
      </c>
      <c r="P17" s="261" t="s">
        <v>150</v>
      </c>
      <c r="Q17" s="261" t="s">
        <v>151</v>
      </c>
      <c r="R17" s="261" t="s">
        <v>152</v>
      </c>
      <c r="S17" s="261" t="s">
        <v>153</v>
      </c>
      <c r="T17" s="261" t="s">
        <v>154</v>
      </c>
      <c r="U17" s="261" t="s">
        <v>155</v>
      </c>
      <c r="V17" s="261" t="s">
        <v>156</v>
      </c>
      <c r="W17" s="261" t="s">
        <v>157</v>
      </c>
      <c r="X17" s="261" t="s">
        <v>158</v>
      </c>
      <c r="Y17" s="261" t="s">
        <v>159</v>
      </c>
      <c r="Z17" s="261" t="s">
        <v>160</v>
      </c>
      <c r="AA17" s="261" t="s">
        <v>161</v>
      </c>
      <c r="AB17" s="261" t="s">
        <v>162</v>
      </c>
      <c r="AC17" s="261" t="s">
        <v>163</v>
      </c>
      <c r="AD17" s="261" t="s">
        <v>164</v>
      </c>
      <c r="AE17" s="261" t="s">
        <v>165</v>
      </c>
      <c r="AF17" s="261" t="s">
        <v>166</v>
      </c>
      <c r="AG17" s="261" t="s">
        <v>167</v>
      </c>
      <c r="AH17" s="261" t="s">
        <v>168</v>
      </c>
      <c r="AI17" s="261" t="s">
        <v>169</v>
      </c>
      <c r="AJ17" s="261" t="s">
        <v>170</v>
      </c>
    </row>
    <row r="18" spans="1:36" ht="15">
      <c r="A18" s="257" t="s">
        <v>213</v>
      </c>
      <c r="B18" s="257" t="s">
        <v>172</v>
      </c>
      <c r="C18" s="262">
        <v>46522</v>
      </c>
      <c r="D18" s="263">
        <v>1428310000</v>
      </c>
      <c r="E18" s="263">
        <v>1428310000</v>
      </c>
      <c r="F18" s="257">
        <v>3.625</v>
      </c>
      <c r="G18" s="264">
        <v>5177623750</v>
      </c>
      <c r="H18" s="257" t="s">
        <v>173</v>
      </c>
      <c r="I18" s="257" t="s">
        <v>214</v>
      </c>
      <c r="J18" s="257" t="s">
        <v>204</v>
      </c>
      <c r="K18" s="257" t="s">
        <v>215</v>
      </c>
      <c r="L18" s="257" t="s">
        <v>216</v>
      </c>
      <c r="M18" s="257" t="s">
        <v>172</v>
      </c>
      <c r="N18" s="262">
        <v>42872</v>
      </c>
      <c r="O18" s="257" t="s">
        <v>179</v>
      </c>
      <c r="P18" s="257" t="s">
        <v>179</v>
      </c>
      <c r="Q18" s="257" t="s">
        <v>180</v>
      </c>
      <c r="R18" s="257" t="s">
        <v>181</v>
      </c>
      <c r="S18" s="257">
        <v>3.6680000000000001</v>
      </c>
      <c r="T18" s="257">
        <v>3.5939999999999999</v>
      </c>
      <c r="U18" s="257">
        <v>154.874</v>
      </c>
      <c r="V18" s="257">
        <v>4.1740000000000004</v>
      </c>
      <c r="W18" s="257" t="s">
        <v>201</v>
      </c>
      <c r="X18" s="257" t="s">
        <v>183</v>
      </c>
      <c r="Y18" s="262">
        <v>46524</v>
      </c>
      <c r="Z18" s="257">
        <v>98.126999999999995</v>
      </c>
      <c r="AA18" s="257" t="s">
        <v>184</v>
      </c>
      <c r="AB18" s="257" t="s">
        <v>172</v>
      </c>
      <c r="AC18" s="257" t="s">
        <v>181</v>
      </c>
      <c r="AD18" s="257" t="s">
        <v>185</v>
      </c>
      <c r="AE18" s="257" t="s">
        <v>172</v>
      </c>
      <c r="AF18" s="257" t="s">
        <v>174</v>
      </c>
      <c r="AG18" s="257" t="s">
        <v>186</v>
      </c>
      <c r="AH18" s="257" t="s">
        <v>181</v>
      </c>
      <c r="AI18" s="257" t="s">
        <v>187</v>
      </c>
      <c r="AJ18" s="257" t="s">
        <v>184</v>
      </c>
    </row>
    <row r="19" spans="1:36" ht="15">
      <c r="A19" s="259">
        <v>2028</v>
      </c>
      <c r="B19" s="259">
        <v>2</v>
      </c>
      <c r="C19" s="260">
        <v>3500000000</v>
      </c>
      <c r="D19" s="260">
        <v>3500000000</v>
      </c>
      <c r="E19" s="257"/>
      <c r="F19" s="257"/>
      <c r="G19" s="257">
        <v>0</v>
      </c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</row>
    <row r="20" spans="1:36" ht="15">
      <c r="A20" s="261" t="s">
        <v>136</v>
      </c>
      <c r="B20" s="261" t="s">
        <v>137</v>
      </c>
      <c r="C20" s="261" t="s">
        <v>138</v>
      </c>
      <c r="D20" s="261" t="s">
        <v>139</v>
      </c>
      <c r="E20" s="261" t="s">
        <v>140</v>
      </c>
      <c r="F20" s="261" t="s">
        <v>141</v>
      </c>
      <c r="G20" s="257"/>
      <c r="H20" s="261" t="s">
        <v>142</v>
      </c>
      <c r="I20" s="261" t="s">
        <v>143</v>
      </c>
      <c r="J20" s="261" t="s">
        <v>144</v>
      </c>
      <c r="K20" s="261" t="s">
        <v>145</v>
      </c>
      <c r="L20" s="261" t="s">
        <v>146</v>
      </c>
      <c r="M20" s="261" t="s">
        <v>147</v>
      </c>
      <c r="N20" s="261" t="s">
        <v>148</v>
      </c>
      <c r="O20" s="261" t="s">
        <v>149</v>
      </c>
      <c r="P20" s="261" t="s">
        <v>150</v>
      </c>
      <c r="Q20" s="261" t="s">
        <v>151</v>
      </c>
      <c r="R20" s="261" t="s">
        <v>152</v>
      </c>
      <c r="S20" s="261" t="s">
        <v>153</v>
      </c>
      <c r="T20" s="261" t="s">
        <v>154</v>
      </c>
      <c r="U20" s="261" t="s">
        <v>155</v>
      </c>
      <c r="V20" s="261" t="s">
        <v>156</v>
      </c>
      <c r="W20" s="261" t="s">
        <v>157</v>
      </c>
      <c r="X20" s="261" t="s">
        <v>158</v>
      </c>
      <c r="Y20" s="261" t="s">
        <v>159</v>
      </c>
      <c r="Z20" s="261" t="s">
        <v>160</v>
      </c>
      <c r="AA20" s="261" t="s">
        <v>161</v>
      </c>
      <c r="AB20" s="261" t="s">
        <v>162</v>
      </c>
      <c r="AC20" s="261" t="s">
        <v>163</v>
      </c>
      <c r="AD20" s="261" t="s">
        <v>164</v>
      </c>
      <c r="AE20" s="261" t="s">
        <v>165</v>
      </c>
      <c r="AF20" s="261" t="s">
        <v>166</v>
      </c>
      <c r="AG20" s="261" t="s">
        <v>167</v>
      </c>
      <c r="AH20" s="261" t="s">
        <v>168</v>
      </c>
      <c r="AI20" s="261" t="s">
        <v>169</v>
      </c>
      <c r="AJ20" s="261" t="s">
        <v>170</v>
      </c>
    </row>
    <row r="21" spans="1:36" ht="15">
      <c r="A21" s="257" t="s">
        <v>217</v>
      </c>
      <c r="B21" s="257" t="s">
        <v>172</v>
      </c>
      <c r="C21" s="262">
        <v>46858</v>
      </c>
      <c r="D21" s="263">
        <v>1600000000</v>
      </c>
      <c r="E21" s="263">
        <v>1600000000</v>
      </c>
      <c r="F21" s="257">
        <v>4.875</v>
      </c>
      <c r="G21" s="264">
        <v>7800000000</v>
      </c>
      <c r="H21" s="257" t="s">
        <v>173</v>
      </c>
      <c r="I21" s="257" t="s">
        <v>174</v>
      </c>
      <c r="J21" s="257" t="s">
        <v>175</v>
      </c>
      <c r="K21" s="257" t="s">
        <v>218</v>
      </c>
      <c r="L21" s="257" t="s">
        <v>219</v>
      </c>
      <c r="M21" s="257" t="s">
        <v>220</v>
      </c>
      <c r="N21" s="262">
        <v>43417</v>
      </c>
      <c r="O21" s="257" t="s">
        <v>179</v>
      </c>
      <c r="P21" s="257" t="s">
        <v>179</v>
      </c>
      <c r="Q21" s="257" t="s">
        <v>180</v>
      </c>
      <c r="R21" s="257" t="s">
        <v>181</v>
      </c>
      <c r="S21" s="257">
        <v>4.3630000000000004</v>
      </c>
      <c r="T21" s="257">
        <v>4.3630000000000004</v>
      </c>
      <c r="U21" s="257">
        <v>119.949</v>
      </c>
      <c r="V21" s="257">
        <v>4.875</v>
      </c>
      <c r="W21" s="257" t="s">
        <v>182</v>
      </c>
      <c r="X21" s="257" t="s">
        <v>183</v>
      </c>
      <c r="Y21" s="262">
        <v>46860</v>
      </c>
      <c r="Z21" s="257">
        <v>100</v>
      </c>
      <c r="AA21" s="257" t="s">
        <v>184</v>
      </c>
      <c r="AB21" s="257" t="s">
        <v>172</v>
      </c>
      <c r="AC21" s="257" t="s">
        <v>181</v>
      </c>
      <c r="AD21" s="257" t="s">
        <v>185</v>
      </c>
      <c r="AE21" s="257" t="s">
        <v>172</v>
      </c>
      <c r="AF21" s="257" t="s">
        <v>174</v>
      </c>
      <c r="AG21" s="257" t="s">
        <v>186</v>
      </c>
      <c r="AH21" s="257" t="s">
        <v>181</v>
      </c>
      <c r="AI21" s="257" t="s">
        <v>187</v>
      </c>
      <c r="AJ21" s="257" t="s">
        <v>184</v>
      </c>
    </row>
    <row r="22" spans="1:36" ht="15">
      <c r="A22" s="257" t="s">
        <v>221</v>
      </c>
      <c r="B22" s="257" t="s">
        <v>172</v>
      </c>
      <c r="C22" s="262">
        <v>47072</v>
      </c>
      <c r="D22" s="263">
        <v>1900000000</v>
      </c>
      <c r="E22" s="263">
        <v>1900000000</v>
      </c>
      <c r="F22" s="257">
        <v>5.875</v>
      </c>
      <c r="G22" s="264">
        <v>11162500000</v>
      </c>
      <c r="H22" s="257" t="s">
        <v>173</v>
      </c>
      <c r="I22" s="257" t="s">
        <v>174</v>
      </c>
      <c r="J22" s="257" t="s">
        <v>175</v>
      </c>
      <c r="K22" s="257" t="s">
        <v>222</v>
      </c>
      <c r="L22" s="257" t="s">
        <v>223</v>
      </c>
      <c r="M22" s="257" t="s">
        <v>224</v>
      </c>
      <c r="N22" s="262">
        <v>43581</v>
      </c>
      <c r="O22" s="257" t="s">
        <v>179</v>
      </c>
      <c r="P22" s="257" t="s">
        <v>179</v>
      </c>
      <c r="Q22" s="257" t="s">
        <v>180</v>
      </c>
      <c r="R22" s="257" t="s">
        <v>181</v>
      </c>
      <c r="S22" s="257">
        <v>4.6120000000000001</v>
      </c>
      <c r="T22" s="257">
        <v>4.6120000000000001</v>
      </c>
      <c r="U22" s="257">
        <v>120.691</v>
      </c>
      <c r="V22" s="257">
        <v>4.8609999999999998</v>
      </c>
      <c r="W22" s="257" t="s">
        <v>182</v>
      </c>
      <c r="X22" s="257" t="s">
        <v>183</v>
      </c>
      <c r="Y22" s="262">
        <v>47072</v>
      </c>
      <c r="Z22" s="257">
        <v>104.88</v>
      </c>
      <c r="AA22" s="257" t="s">
        <v>184</v>
      </c>
      <c r="AB22" s="257" t="s">
        <v>172</v>
      </c>
      <c r="AC22" s="257" t="s">
        <v>181</v>
      </c>
      <c r="AD22" s="257" t="s">
        <v>185</v>
      </c>
      <c r="AE22" s="257" t="s">
        <v>172</v>
      </c>
      <c r="AF22" s="257" t="s">
        <v>174</v>
      </c>
      <c r="AG22" s="257" t="s">
        <v>186</v>
      </c>
      <c r="AH22" s="257" t="s">
        <v>181</v>
      </c>
      <c r="AI22" s="257" t="s">
        <v>187</v>
      </c>
      <c r="AJ22" s="257" t="s">
        <v>184</v>
      </c>
    </row>
    <row r="23" spans="1:36" ht="15">
      <c r="A23" s="259">
        <v>2029</v>
      </c>
      <c r="B23" s="259">
        <v>6</v>
      </c>
      <c r="C23" s="260">
        <v>4227010000</v>
      </c>
      <c r="D23" s="260">
        <v>4227010000</v>
      </c>
      <c r="E23" s="257"/>
      <c r="F23" s="257"/>
      <c r="G23" s="257">
        <v>0</v>
      </c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</row>
    <row r="24" spans="1:36" ht="15">
      <c r="A24" s="261" t="s">
        <v>136</v>
      </c>
      <c r="B24" s="261" t="s">
        <v>137</v>
      </c>
      <c r="C24" s="261" t="s">
        <v>138</v>
      </c>
      <c r="D24" s="261" t="s">
        <v>139</v>
      </c>
      <c r="E24" s="261" t="s">
        <v>140</v>
      </c>
      <c r="F24" s="261" t="s">
        <v>141</v>
      </c>
      <c r="G24" s="257"/>
      <c r="H24" s="261" t="s">
        <v>142</v>
      </c>
      <c r="I24" s="261" t="s">
        <v>143</v>
      </c>
      <c r="J24" s="261" t="s">
        <v>144</v>
      </c>
      <c r="K24" s="261" t="s">
        <v>145</v>
      </c>
      <c r="L24" s="261" t="s">
        <v>146</v>
      </c>
      <c r="M24" s="261" t="s">
        <v>147</v>
      </c>
      <c r="N24" s="261" t="s">
        <v>148</v>
      </c>
      <c r="O24" s="261" t="s">
        <v>149</v>
      </c>
      <c r="P24" s="261" t="s">
        <v>150</v>
      </c>
      <c r="Q24" s="261" t="s">
        <v>151</v>
      </c>
      <c r="R24" s="261" t="s">
        <v>152</v>
      </c>
      <c r="S24" s="261" t="s">
        <v>153</v>
      </c>
      <c r="T24" s="261" t="s">
        <v>154</v>
      </c>
      <c r="U24" s="261" t="s">
        <v>155</v>
      </c>
      <c r="V24" s="261" t="s">
        <v>156</v>
      </c>
      <c r="W24" s="261" t="s">
        <v>157</v>
      </c>
      <c r="X24" s="261" t="s">
        <v>158</v>
      </c>
      <c r="Y24" s="261" t="s">
        <v>159</v>
      </c>
      <c r="Z24" s="261" t="s">
        <v>160</v>
      </c>
      <c r="AA24" s="261" t="s">
        <v>161</v>
      </c>
      <c r="AB24" s="261" t="s">
        <v>162</v>
      </c>
      <c r="AC24" s="261" t="s">
        <v>163</v>
      </c>
      <c r="AD24" s="261" t="s">
        <v>164</v>
      </c>
      <c r="AE24" s="261" t="s">
        <v>165</v>
      </c>
      <c r="AF24" s="261" t="s">
        <v>166</v>
      </c>
      <c r="AG24" s="261" t="s">
        <v>167</v>
      </c>
      <c r="AH24" s="261" t="s">
        <v>168</v>
      </c>
      <c r="AI24" s="261" t="s">
        <v>169</v>
      </c>
      <c r="AJ24" s="261" t="s">
        <v>170</v>
      </c>
    </row>
    <row r="25" spans="1:36" ht="15">
      <c r="A25" s="257" t="s">
        <v>225</v>
      </c>
      <c r="B25" s="257" t="s">
        <v>172</v>
      </c>
      <c r="C25" s="262">
        <v>47253</v>
      </c>
      <c r="D25" s="263">
        <v>1208570000</v>
      </c>
      <c r="E25" s="263">
        <v>1208570000</v>
      </c>
      <c r="F25" s="257">
        <v>4.625</v>
      </c>
      <c r="G25" s="264">
        <v>5589636250</v>
      </c>
      <c r="H25" s="257" t="s">
        <v>173</v>
      </c>
      <c r="I25" s="257" t="s">
        <v>198</v>
      </c>
      <c r="J25" s="257" t="s">
        <v>204</v>
      </c>
      <c r="K25" s="257" t="s">
        <v>226</v>
      </c>
      <c r="L25" s="257" t="s">
        <v>227</v>
      </c>
      <c r="M25" s="257" t="s">
        <v>172</v>
      </c>
      <c r="N25" s="262">
        <v>43764</v>
      </c>
      <c r="O25" s="257" t="s">
        <v>179</v>
      </c>
      <c r="P25" s="257" t="s">
        <v>179</v>
      </c>
      <c r="Q25" s="257" t="s">
        <v>180</v>
      </c>
      <c r="R25" s="257" t="s">
        <v>181</v>
      </c>
      <c r="S25" s="257">
        <v>5.1340000000000003</v>
      </c>
      <c r="T25" s="257">
        <v>5.0229999999999997</v>
      </c>
      <c r="U25" s="257">
        <v>194.91399999999999</v>
      </c>
      <c r="V25" s="257">
        <v>4.4859999999999998</v>
      </c>
      <c r="W25" s="257" t="s">
        <v>201</v>
      </c>
      <c r="X25" s="257" t="s">
        <v>183</v>
      </c>
      <c r="Y25" s="262">
        <v>47253</v>
      </c>
      <c r="Z25" s="257">
        <v>100.99</v>
      </c>
      <c r="AA25" s="257" t="s">
        <v>184</v>
      </c>
      <c r="AB25" s="257" t="s">
        <v>172</v>
      </c>
      <c r="AC25" s="257" t="s">
        <v>181</v>
      </c>
      <c r="AD25" s="257" t="s">
        <v>185</v>
      </c>
      <c r="AE25" s="257" t="s">
        <v>172</v>
      </c>
      <c r="AF25" s="257" t="s">
        <v>174</v>
      </c>
      <c r="AG25" s="257" t="s">
        <v>186</v>
      </c>
      <c r="AH25" s="257" t="s">
        <v>181</v>
      </c>
      <c r="AI25" s="257" t="s">
        <v>187</v>
      </c>
      <c r="AJ25" s="257" t="s">
        <v>184</v>
      </c>
    </row>
    <row r="26" spans="1:36" ht="15">
      <c r="A26" s="257" t="s">
        <v>228</v>
      </c>
      <c r="B26" s="257" t="s">
        <v>172</v>
      </c>
      <c r="C26" s="262">
        <v>47253</v>
      </c>
      <c r="D26" s="263">
        <v>800000000</v>
      </c>
      <c r="E26" s="263">
        <v>800000000</v>
      </c>
      <c r="F26" s="257">
        <v>6.375</v>
      </c>
      <c r="G26" s="264">
        <v>5100000000</v>
      </c>
      <c r="H26" s="257" t="s">
        <v>173</v>
      </c>
      <c r="I26" s="257" t="s">
        <v>174</v>
      </c>
      <c r="J26" s="257" t="s">
        <v>175</v>
      </c>
      <c r="K26" s="257" t="s">
        <v>229</v>
      </c>
      <c r="L26" s="257" t="s">
        <v>230</v>
      </c>
      <c r="M26" s="257" t="s">
        <v>231</v>
      </c>
      <c r="N26" s="262">
        <v>43770</v>
      </c>
      <c r="O26" s="257" t="s">
        <v>179</v>
      </c>
      <c r="P26" s="257" t="s">
        <v>179</v>
      </c>
      <c r="Q26" s="257" t="s">
        <v>180</v>
      </c>
      <c r="R26" s="257" t="s">
        <v>181</v>
      </c>
      <c r="S26" s="257">
        <v>4.9009999999999998</v>
      </c>
      <c r="T26" s="257">
        <v>4.9009999999999998</v>
      </c>
      <c r="U26" s="257">
        <v>135.262</v>
      </c>
      <c r="V26" s="257">
        <v>4.9960000000000004</v>
      </c>
      <c r="W26" s="257" t="s">
        <v>182</v>
      </c>
      <c r="X26" s="257" t="s">
        <v>183</v>
      </c>
      <c r="Y26" s="262">
        <v>47253</v>
      </c>
      <c r="Z26" s="257">
        <v>107.125</v>
      </c>
      <c r="AA26" s="257" t="s">
        <v>184</v>
      </c>
      <c r="AB26" s="257" t="s">
        <v>172</v>
      </c>
      <c r="AC26" s="257" t="s">
        <v>181</v>
      </c>
      <c r="AD26" s="257" t="s">
        <v>185</v>
      </c>
      <c r="AE26" s="257" t="s">
        <v>172</v>
      </c>
      <c r="AF26" s="257" t="s">
        <v>174</v>
      </c>
      <c r="AG26" s="257" t="s">
        <v>186</v>
      </c>
      <c r="AH26" s="257" t="s">
        <v>181</v>
      </c>
      <c r="AI26" s="257" t="s">
        <v>187</v>
      </c>
      <c r="AJ26" s="257" t="s">
        <v>184</v>
      </c>
    </row>
    <row r="27" spans="1:36" ht="15">
      <c r="A27" s="257" t="s">
        <v>232</v>
      </c>
      <c r="B27" s="257" t="s">
        <v>172</v>
      </c>
      <c r="C27" s="262">
        <v>47437</v>
      </c>
      <c r="D27" s="263">
        <v>1318440000</v>
      </c>
      <c r="E27" s="263">
        <v>1318440000</v>
      </c>
      <c r="F27" s="257">
        <v>3.875</v>
      </c>
      <c r="G27" s="264">
        <v>5108955000</v>
      </c>
      <c r="H27" s="257" t="s">
        <v>173</v>
      </c>
      <c r="I27" s="257" t="s">
        <v>174</v>
      </c>
      <c r="J27" s="257" t="s">
        <v>204</v>
      </c>
      <c r="K27" s="257" t="s">
        <v>233</v>
      </c>
      <c r="L27" s="257" t="s">
        <v>234</v>
      </c>
      <c r="M27" s="257" t="s">
        <v>172</v>
      </c>
      <c r="N27" s="262">
        <v>43584</v>
      </c>
      <c r="O27" s="257" t="s">
        <v>179</v>
      </c>
      <c r="P27" s="257" t="s">
        <v>179</v>
      </c>
      <c r="Q27" s="257" t="s">
        <v>180</v>
      </c>
      <c r="R27" s="257" t="s">
        <v>181</v>
      </c>
      <c r="S27" s="257">
        <v>5.633</v>
      </c>
      <c r="T27" s="257">
        <v>5.633</v>
      </c>
      <c r="U27" s="257">
        <v>191.21199999999999</v>
      </c>
      <c r="V27" s="257">
        <v>4.3810000000000002</v>
      </c>
      <c r="W27" s="257" t="s">
        <v>182</v>
      </c>
      <c r="X27" s="257" t="s">
        <v>183</v>
      </c>
      <c r="Y27" s="262">
        <v>47437</v>
      </c>
      <c r="Z27" s="257">
        <v>97.138999999999996</v>
      </c>
      <c r="AA27" s="257" t="s">
        <v>184</v>
      </c>
      <c r="AB27" s="257" t="s">
        <v>172</v>
      </c>
      <c r="AC27" s="257" t="s">
        <v>181</v>
      </c>
      <c r="AD27" s="257" t="s">
        <v>235</v>
      </c>
      <c r="AE27" s="257" t="s">
        <v>172</v>
      </c>
      <c r="AF27" s="257" t="s">
        <v>174</v>
      </c>
      <c r="AG27" s="257" t="s">
        <v>186</v>
      </c>
      <c r="AH27" s="257" t="s">
        <v>181</v>
      </c>
      <c r="AI27" s="257" t="s">
        <v>187</v>
      </c>
      <c r="AJ27" s="257" t="s">
        <v>184</v>
      </c>
    </row>
    <row r="28" spans="1:36" ht="15">
      <c r="A28" s="257" t="s">
        <v>236</v>
      </c>
      <c r="B28" s="257" t="s">
        <v>197</v>
      </c>
      <c r="C28" s="262">
        <v>47437</v>
      </c>
      <c r="D28" s="263">
        <v>900000000</v>
      </c>
      <c r="E28" s="263">
        <v>900000000</v>
      </c>
      <c r="F28" s="257">
        <v>5.375</v>
      </c>
      <c r="G28" s="264">
        <v>4837500000</v>
      </c>
      <c r="H28" s="257" t="s">
        <v>173</v>
      </c>
      <c r="I28" s="257" t="s">
        <v>198</v>
      </c>
      <c r="J28" s="257" t="s">
        <v>175</v>
      </c>
      <c r="K28" s="257" t="s">
        <v>237</v>
      </c>
      <c r="L28" s="257" t="s">
        <v>238</v>
      </c>
      <c r="M28" s="257" t="s">
        <v>172</v>
      </c>
      <c r="N28" s="262">
        <v>43584</v>
      </c>
      <c r="O28" s="257" t="s">
        <v>179</v>
      </c>
      <c r="P28" s="257" t="s">
        <v>179</v>
      </c>
      <c r="Q28" s="257" t="s">
        <v>180</v>
      </c>
      <c r="R28" s="257" t="s">
        <v>181</v>
      </c>
      <c r="S28" s="257">
        <v>5.3780000000000001</v>
      </c>
      <c r="T28" s="257">
        <v>5.3780000000000001</v>
      </c>
      <c r="U28" s="257">
        <v>146.851</v>
      </c>
      <c r="V28" s="257">
        <v>5.1020000000000003</v>
      </c>
      <c r="W28" s="257" t="s">
        <v>201</v>
      </c>
      <c r="X28" s="257" t="s">
        <v>183</v>
      </c>
      <c r="Y28" s="262">
        <v>47437</v>
      </c>
      <c r="Z28" s="257">
        <v>101.5</v>
      </c>
      <c r="AA28" s="257" t="s">
        <v>184</v>
      </c>
      <c r="AB28" s="257" t="s">
        <v>172</v>
      </c>
      <c r="AC28" s="257" t="s">
        <v>181</v>
      </c>
      <c r="AD28" s="257" t="s">
        <v>202</v>
      </c>
      <c r="AE28" s="257" t="s">
        <v>172</v>
      </c>
      <c r="AF28" s="257" t="s">
        <v>174</v>
      </c>
      <c r="AG28" s="257" t="s">
        <v>186</v>
      </c>
      <c r="AH28" s="257" t="s">
        <v>181</v>
      </c>
      <c r="AI28" s="257" t="s">
        <v>187</v>
      </c>
      <c r="AJ28" s="257" t="s">
        <v>184</v>
      </c>
    </row>
    <row r="29" spans="1:36" ht="15">
      <c r="A29" s="257" t="s">
        <v>232</v>
      </c>
      <c r="B29" s="257" t="s">
        <v>197</v>
      </c>
      <c r="C29" s="262">
        <v>47437</v>
      </c>
      <c r="D29" s="263">
        <v>1318440000</v>
      </c>
      <c r="E29" s="263">
        <v>1318440000</v>
      </c>
      <c r="F29" s="257">
        <v>3.875</v>
      </c>
      <c r="G29" s="264">
        <v>5108955000</v>
      </c>
      <c r="H29" s="257" t="s">
        <v>173</v>
      </c>
      <c r="I29" s="257" t="s">
        <v>198</v>
      </c>
      <c r="J29" s="257" t="s">
        <v>204</v>
      </c>
      <c r="K29" s="257" t="s">
        <v>239</v>
      </c>
      <c r="L29" s="257" t="s">
        <v>240</v>
      </c>
      <c r="M29" s="257" t="s">
        <v>172</v>
      </c>
      <c r="N29" s="262">
        <v>43584</v>
      </c>
      <c r="O29" s="257" t="s">
        <v>179</v>
      </c>
      <c r="P29" s="257" t="s">
        <v>179</v>
      </c>
      <c r="Q29" s="257" t="s">
        <v>180</v>
      </c>
      <c r="R29" s="257" t="s">
        <v>181</v>
      </c>
      <c r="S29" s="257">
        <v>5.633</v>
      </c>
      <c r="T29" s="257">
        <v>5.5129999999999999</v>
      </c>
      <c r="U29" s="257">
        <v>191.41</v>
      </c>
      <c r="V29" s="257">
        <v>4.431</v>
      </c>
      <c r="W29" s="257" t="s">
        <v>201</v>
      </c>
      <c r="X29" s="257" t="s">
        <v>183</v>
      </c>
      <c r="Y29" s="262">
        <v>47437</v>
      </c>
      <c r="Z29" s="257">
        <v>97.128</v>
      </c>
      <c r="AA29" s="257" t="s">
        <v>184</v>
      </c>
      <c r="AB29" s="257" t="s">
        <v>172</v>
      </c>
      <c r="AC29" s="257" t="s">
        <v>181</v>
      </c>
      <c r="AD29" s="257" t="s">
        <v>202</v>
      </c>
      <c r="AE29" s="257" t="s">
        <v>172</v>
      </c>
      <c r="AF29" s="257" t="s">
        <v>174</v>
      </c>
      <c r="AG29" s="257" t="s">
        <v>186</v>
      </c>
      <c r="AH29" s="257" t="s">
        <v>181</v>
      </c>
      <c r="AI29" s="257" t="s">
        <v>187</v>
      </c>
      <c r="AJ29" s="257" t="s">
        <v>184</v>
      </c>
    </row>
    <row r="30" spans="1:36" ht="15">
      <c r="A30" s="257" t="s">
        <v>236</v>
      </c>
      <c r="B30" s="257" t="s">
        <v>172</v>
      </c>
      <c r="C30" s="262">
        <v>47437</v>
      </c>
      <c r="D30" s="263">
        <v>900000000</v>
      </c>
      <c r="E30" s="263">
        <v>900000000</v>
      </c>
      <c r="F30" s="257">
        <v>5.375</v>
      </c>
      <c r="G30" s="264">
        <v>4837500000</v>
      </c>
      <c r="H30" s="257" t="s">
        <v>173</v>
      </c>
      <c r="I30" s="257" t="s">
        <v>174</v>
      </c>
      <c r="J30" s="257" t="s">
        <v>175</v>
      </c>
      <c r="K30" s="257" t="s">
        <v>241</v>
      </c>
      <c r="L30" s="257" t="s">
        <v>242</v>
      </c>
      <c r="M30" s="257" t="s">
        <v>243</v>
      </c>
      <c r="N30" s="262">
        <v>43584</v>
      </c>
      <c r="O30" s="257" t="s">
        <v>179</v>
      </c>
      <c r="P30" s="257" t="s">
        <v>179</v>
      </c>
      <c r="Q30" s="257" t="s">
        <v>180</v>
      </c>
      <c r="R30" s="257" t="s">
        <v>181</v>
      </c>
      <c r="S30" s="257">
        <v>5.3780000000000001</v>
      </c>
      <c r="T30" s="257">
        <v>5.3780000000000001</v>
      </c>
      <c r="U30" s="257">
        <v>146.73500000000001</v>
      </c>
      <c r="V30" s="257">
        <v>5.1020000000000003</v>
      </c>
      <c r="W30" s="257" t="s">
        <v>182</v>
      </c>
      <c r="X30" s="257" t="s">
        <v>183</v>
      </c>
      <c r="Y30" s="262">
        <v>47437</v>
      </c>
      <c r="Z30" s="257">
        <v>101.5</v>
      </c>
      <c r="AA30" s="257" t="s">
        <v>184</v>
      </c>
      <c r="AB30" s="257" t="s">
        <v>172</v>
      </c>
      <c r="AC30" s="257" t="s">
        <v>181</v>
      </c>
      <c r="AD30" s="257" t="s">
        <v>196</v>
      </c>
      <c r="AE30" s="257" t="s">
        <v>172</v>
      </c>
      <c r="AF30" s="257" t="s">
        <v>174</v>
      </c>
      <c r="AG30" s="257" t="s">
        <v>186</v>
      </c>
      <c r="AH30" s="257" t="s">
        <v>181</v>
      </c>
      <c r="AI30" s="257" t="s">
        <v>187</v>
      </c>
      <c r="AJ30" s="257" t="s">
        <v>184</v>
      </c>
    </row>
    <row r="31" spans="1:36" ht="15">
      <c r="A31" s="259">
        <v>2030</v>
      </c>
      <c r="B31" s="259">
        <v>4</v>
      </c>
      <c r="C31" s="260">
        <v>2208570000</v>
      </c>
      <c r="D31" s="260">
        <v>2208570000</v>
      </c>
      <c r="E31" s="257"/>
      <c r="F31" s="257"/>
      <c r="G31" s="257">
        <v>0</v>
      </c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</row>
    <row r="32" spans="1:36" ht="15">
      <c r="A32" s="261" t="s">
        <v>136</v>
      </c>
      <c r="B32" s="261" t="s">
        <v>137</v>
      </c>
      <c r="C32" s="261" t="s">
        <v>138</v>
      </c>
      <c r="D32" s="261" t="s">
        <v>139</v>
      </c>
      <c r="E32" s="261" t="s">
        <v>140</v>
      </c>
      <c r="F32" s="261" t="s">
        <v>141</v>
      </c>
      <c r="G32" s="257"/>
      <c r="H32" s="261" t="s">
        <v>142</v>
      </c>
      <c r="I32" s="261" t="s">
        <v>143</v>
      </c>
      <c r="J32" s="261" t="s">
        <v>144</v>
      </c>
      <c r="K32" s="261" t="s">
        <v>145</v>
      </c>
      <c r="L32" s="261" t="s">
        <v>146</v>
      </c>
      <c r="M32" s="261" t="s">
        <v>147</v>
      </c>
      <c r="N32" s="261" t="s">
        <v>148</v>
      </c>
      <c r="O32" s="261" t="s">
        <v>149</v>
      </c>
      <c r="P32" s="261" t="s">
        <v>150</v>
      </c>
      <c r="Q32" s="261" t="s">
        <v>151</v>
      </c>
      <c r="R32" s="261" t="s">
        <v>152</v>
      </c>
      <c r="S32" s="261" t="s">
        <v>153</v>
      </c>
      <c r="T32" s="261" t="s">
        <v>154</v>
      </c>
      <c r="U32" s="261" t="s">
        <v>155</v>
      </c>
      <c r="V32" s="261" t="s">
        <v>156</v>
      </c>
      <c r="W32" s="261" t="s">
        <v>157</v>
      </c>
      <c r="X32" s="261" t="s">
        <v>158</v>
      </c>
      <c r="Y32" s="261" t="s">
        <v>159</v>
      </c>
      <c r="Z32" s="261" t="s">
        <v>160</v>
      </c>
      <c r="AA32" s="261" t="s">
        <v>161</v>
      </c>
      <c r="AB32" s="261" t="s">
        <v>162</v>
      </c>
      <c r="AC32" s="261" t="s">
        <v>163</v>
      </c>
      <c r="AD32" s="261" t="s">
        <v>164</v>
      </c>
      <c r="AE32" s="261" t="s">
        <v>165</v>
      </c>
      <c r="AF32" s="261" t="s">
        <v>166</v>
      </c>
      <c r="AG32" s="261" t="s">
        <v>167</v>
      </c>
      <c r="AH32" s="261" t="s">
        <v>168</v>
      </c>
      <c r="AI32" s="261" t="s">
        <v>169</v>
      </c>
      <c r="AJ32" s="261" t="s">
        <v>170</v>
      </c>
    </row>
    <row r="33" spans="1:36" ht="15">
      <c r="A33" s="257" t="s">
        <v>244</v>
      </c>
      <c r="B33" s="257" t="s">
        <v>197</v>
      </c>
      <c r="C33" s="262">
        <v>11124</v>
      </c>
      <c r="D33" s="263">
        <v>1208570000</v>
      </c>
      <c r="E33" s="263">
        <v>1208570000</v>
      </c>
      <c r="F33" s="257">
        <v>3.625</v>
      </c>
      <c r="G33" s="264">
        <v>4381066250</v>
      </c>
      <c r="H33" s="257" t="s">
        <v>173</v>
      </c>
      <c r="I33" s="257" t="s">
        <v>198</v>
      </c>
      <c r="J33" s="257" t="s">
        <v>204</v>
      </c>
      <c r="K33" s="257" t="s">
        <v>245</v>
      </c>
      <c r="L33" s="257" t="s">
        <v>246</v>
      </c>
      <c r="M33" s="257" t="s">
        <v>172</v>
      </c>
      <c r="N33" s="262">
        <v>43763</v>
      </c>
      <c r="O33" s="257" t="s">
        <v>179</v>
      </c>
      <c r="P33" s="257" t="s">
        <v>179</v>
      </c>
      <c r="Q33" s="257" t="s">
        <v>180</v>
      </c>
      <c r="R33" s="257" t="s">
        <v>181</v>
      </c>
      <c r="S33" s="257">
        <v>6.1070000000000002</v>
      </c>
      <c r="T33" s="257">
        <v>6.0739999999999998</v>
      </c>
      <c r="U33" s="257">
        <v>199.721</v>
      </c>
      <c r="V33" s="257">
        <v>4.5069999999999997</v>
      </c>
      <c r="W33" s="257" t="s">
        <v>201</v>
      </c>
      <c r="X33" s="257" t="s">
        <v>183</v>
      </c>
      <c r="Y33" s="262">
        <v>11126</v>
      </c>
      <c r="Z33" s="257">
        <v>94.956000000000003</v>
      </c>
      <c r="AA33" s="257" t="s">
        <v>184</v>
      </c>
      <c r="AB33" s="257" t="s">
        <v>172</v>
      </c>
      <c r="AC33" s="257" t="s">
        <v>181</v>
      </c>
      <c r="AD33" s="257" t="s">
        <v>202</v>
      </c>
      <c r="AE33" s="257" t="s">
        <v>172</v>
      </c>
      <c r="AF33" s="257" t="s">
        <v>174</v>
      </c>
      <c r="AG33" s="257" t="s">
        <v>186</v>
      </c>
      <c r="AH33" s="257" t="s">
        <v>181</v>
      </c>
      <c r="AI33" s="257" t="s">
        <v>187</v>
      </c>
      <c r="AJ33" s="257" t="s">
        <v>184</v>
      </c>
    </row>
    <row r="34" spans="1:36" ht="15">
      <c r="A34" s="257" t="s">
        <v>247</v>
      </c>
      <c r="B34" s="257" t="s">
        <v>197</v>
      </c>
      <c r="C34" s="262">
        <v>11124</v>
      </c>
      <c r="D34" s="263">
        <v>1000000000</v>
      </c>
      <c r="E34" s="263">
        <v>1000000000</v>
      </c>
      <c r="F34" s="257">
        <v>4.875</v>
      </c>
      <c r="G34" s="264">
        <v>4875000000</v>
      </c>
      <c r="H34" s="257" t="s">
        <v>173</v>
      </c>
      <c r="I34" s="257" t="s">
        <v>198</v>
      </c>
      <c r="J34" s="257" t="s">
        <v>175</v>
      </c>
      <c r="K34" s="257" t="s">
        <v>248</v>
      </c>
      <c r="L34" s="257" t="s">
        <v>249</v>
      </c>
      <c r="M34" s="257" t="s">
        <v>172</v>
      </c>
      <c r="N34" s="262">
        <v>43763</v>
      </c>
      <c r="O34" s="257" t="s">
        <v>179</v>
      </c>
      <c r="P34" s="257" t="s">
        <v>179</v>
      </c>
      <c r="Q34" s="257" t="s">
        <v>180</v>
      </c>
      <c r="R34" s="257" t="s">
        <v>181</v>
      </c>
      <c r="S34" s="257">
        <v>5.8520000000000003</v>
      </c>
      <c r="T34" s="257">
        <v>5.7670000000000003</v>
      </c>
      <c r="U34" s="257">
        <v>144.601</v>
      </c>
      <c r="V34" s="257">
        <v>5.085</v>
      </c>
      <c r="W34" s="257" t="s">
        <v>201</v>
      </c>
      <c r="X34" s="257" t="s">
        <v>183</v>
      </c>
      <c r="Y34" s="262">
        <v>11126</v>
      </c>
      <c r="Z34" s="257">
        <v>98.75</v>
      </c>
      <c r="AA34" s="257" t="s">
        <v>184</v>
      </c>
      <c r="AB34" s="257" t="s">
        <v>172</v>
      </c>
      <c r="AC34" s="257" t="s">
        <v>181</v>
      </c>
      <c r="AD34" s="257" t="s">
        <v>202</v>
      </c>
      <c r="AE34" s="257" t="s">
        <v>172</v>
      </c>
      <c r="AF34" s="257" t="s">
        <v>174</v>
      </c>
      <c r="AG34" s="257" t="s">
        <v>186</v>
      </c>
      <c r="AH34" s="257" t="s">
        <v>181</v>
      </c>
      <c r="AI34" s="257" t="s">
        <v>187</v>
      </c>
      <c r="AJ34" s="257" t="s">
        <v>184</v>
      </c>
    </row>
    <row r="35" spans="1:36" ht="15">
      <c r="A35" s="257" t="s">
        <v>247</v>
      </c>
      <c r="B35" s="257" t="s">
        <v>172</v>
      </c>
      <c r="C35" s="262">
        <v>11124</v>
      </c>
      <c r="D35" s="263">
        <v>1000000000</v>
      </c>
      <c r="E35" s="263">
        <v>1000000000</v>
      </c>
      <c r="F35" s="257">
        <v>4.875</v>
      </c>
      <c r="G35" s="264">
        <v>4875000000</v>
      </c>
      <c r="H35" s="257" t="s">
        <v>173</v>
      </c>
      <c r="I35" s="257" t="s">
        <v>174</v>
      </c>
      <c r="J35" s="257" t="s">
        <v>175</v>
      </c>
      <c r="K35" s="257" t="s">
        <v>250</v>
      </c>
      <c r="L35" s="257" t="s">
        <v>251</v>
      </c>
      <c r="M35" s="257" t="s">
        <v>252</v>
      </c>
      <c r="N35" s="262">
        <v>43763</v>
      </c>
      <c r="O35" s="257" t="s">
        <v>179</v>
      </c>
      <c r="P35" s="257" t="s">
        <v>179</v>
      </c>
      <c r="Q35" s="257" t="s">
        <v>180</v>
      </c>
      <c r="R35" s="257" t="s">
        <v>181</v>
      </c>
      <c r="S35" s="257">
        <v>5.8520000000000003</v>
      </c>
      <c r="T35" s="257">
        <v>5.7670000000000003</v>
      </c>
      <c r="U35" s="257">
        <v>144.44800000000001</v>
      </c>
      <c r="V35" s="257">
        <v>5.085</v>
      </c>
      <c r="W35" s="257" t="s">
        <v>182</v>
      </c>
      <c r="X35" s="257" t="s">
        <v>183</v>
      </c>
      <c r="Y35" s="262">
        <v>11126</v>
      </c>
      <c r="Z35" s="257">
        <v>98.75</v>
      </c>
      <c r="AA35" s="257" t="s">
        <v>184</v>
      </c>
      <c r="AB35" s="257" t="s">
        <v>172</v>
      </c>
      <c r="AC35" s="257" t="s">
        <v>181</v>
      </c>
      <c r="AD35" s="257" t="s">
        <v>196</v>
      </c>
      <c r="AE35" s="257" t="s">
        <v>172</v>
      </c>
      <c r="AF35" s="257" t="s">
        <v>174</v>
      </c>
      <c r="AG35" s="257" t="s">
        <v>186</v>
      </c>
      <c r="AH35" s="257" t="s">
        <v>181</v>
      </c>
      <c r="AI35" s="257" t="s">
        <v>187</v>
      </c>
      <c r="AJ35" s="257" t="s">
        <v>184</v>
      </c>
    </row>
    <row r="36" spans="1:36" ht="15">
      <c r="A36" s="257" t="s">
        <v>244</v>
      </c>
      <c r="B36" s="257" t="s">
        <v>172</v>
      </c>
      <c r="C36" s="262">
        <v>11124</v>
      </c>
      <c r="D36" s="263">
        <v>1208570000</v>
      </c>
      <c r="E36" s="263">
        <v>1208570000</v>
      </c>
      <c r="F36" s="257">
        <v>3.625</v>
      </c>
      <c r="G36" s="264">
        <v>4381066250</v>
      </c>
      <c r="H36" s="257" t="s">
        <v>173</v>
      </c>
      <c r="I36" s="257" t="s">
        <v>174</v>
      </c>
      <c r="J36" s="257" t="s">
        <v>204</v>
      </c>
      <c r="K36" s="257" t="s">
        <v>253</v>
      </c>
      <c r="L36" s="257" t="s">
        <v>254</v>
      </c>
      <c r="M36" s="257" t="s">
        <v>172</v>
      </c>
      <c r="N36" s="262">
        <v>43763</v>
      </c>
      <c r="O36" s="257" t="s">
        <v>179</v>
      </c>
      <c r="P36" s="257" t="s">
        <v>179</v>
      </c>
      <c r="Q36" s="257" t="s">
        <v>180</v>
      </c>
      <c r="R36" s="257" t="s">
        <v>181</v>
      </c>
      <c r="S36" s="257">
        <v>6.1070000000000002</v>
      </c>
      <c r="T36" s="257">
        <v>6.0739999999999998</v>
      </c>
      <c r="U36" s="257">
        <v>199.68700000000001</v>
      </c>
      <c r="V36" s="257">
        <v>4.4569999999999999</v>
      </c>
      <c r="W36" s="257" t="s">
        <v>182</v>
      </c>
      <c r="X36" s="257" t="s">
        <v>183</v>
      </c>
      <c r="Y36" s="262">
        <v>11126</v>
      </c>
      <c r="Z36" s="257">
        <v>94.957999999999998</v>
      </c>
      <c r="AA36" s="257" t="s">
        <v>184</v>
      </c>
      <c r="AB36" s="257" t="s">
        <v>172</v>
      </c>
      <c r="AC36" s="257" t="s">
        <v>181</v>
      </c>
      <c r="AD36" s="257" t="s">
        <v>196</v>
      </c>
      <c r="AE36" s="257" t="s">
        <v>172</v>
      </c>
      <c r="AF36" s="257" t="s">
        <v>174</v>
      </c>
      <c r="AG36" s="257" t="s">
        <v>186</v>
      </c>
      <c r="AH36" s="257" t="s">
        <v>181</v>
      </c>
      <c r="AI36" s="257" t="s">
        <v>187</v>
      </c>
      <c r="AJ36" s="257" t="s">
        <v>184</v>
      </c>
    </row>
    <row r="37" spans="1:36" ht="15">
      <c r="A37" s="258" t="s">
        <v>255</v>
      </c>
      <c r="B37" s="258">
        <v>20</v>
      </c>
      <c r="C37" s="265">
        <v>14580279000</v>
      </c>
      <c r="D37" s="265">
        <v>14580279000</v>
      </c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</row>
    <row r="38" spans="1:36" ht="15">
      <c r="A38" s="257"/>
      <c r="B38" s="257"/>
      <c r="C38" s="257"/>
      <c r="D38" s="263">
        <v>29160558000</v>
      </c>
      <c r="E38" s="257"/>
      <c r="F38" s="257"/>
      <c r="G38" s="264">
        <v>91333136500</v>
      </c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</row>
    <row r="39" spans="1:36" ht="45">
      <c r="A39" s="257"/>
      <c r="B39" s="257"/>
      <c r="C39" s="257"/>
      <c r="D39" s="257"/>
      <c r="E39" s="257"/>
      <c r="F39" s="266" t="s">
        <v>256</v>
      </c>
      <c r="G39" s="267">
        <v>3.1300000000000001E-2</v>
      </c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</row>
  </sheetData>
  <mergeCells count="1">
    <mergeCell ref="A1:A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"/>
  <sheetViews>
    <sheetView showGridLines="0" zoomScale="80" zoomScaleNormal="80" workbookViewId="0">
      <selection activeCell="F12" sqref="F12"/>
    </sheetView>
  </sheetViews>
  <sheetFormatPr defaultColWidth="9.140625" defaultRowHeight="12.95" customHeight="1"/>
  <cols>
    <col min="1" max="1" width="2.42578125" style="2" customWidth="1"/>
    <col min="2" max="2" width="1.7109375" style="2" customWidth="1"/>
    <col min="3" max="5" width="8.28515625" style="2" customWidth="1"/>
    <col min="6" max="13" width="13.7109375" style="2" bestFit="1" customWidth="1"/>
    <col min="14" max="14" width="14.42578125" style="2" customWidth="1"/>
    <col min="15" max="15" width="13.7109375" style="2" bestFit="1" customWidth="1"/>
    <col min="16" max="16" width="1.140625" style="2" customWidth="1"/>
    <col min="17" max="17" width="13.7109375" style="2" bestFit="1" customWidth="1"/>
    <col min="18" max="25" width="9.140625" style="2"/>
    <col min="26" max="26" width="25.5703125" style="2" customWidth="1"/>
    <col min="27" max="27" width="1.7109375" style="2" customWidth="1"/>
    <col min="28" max="28" width="9.140625" style="2"/>
    <col min="29" max="29" width="40" style="2" customWidth="1"/>
    <col min="30" max="30" width="1.7109375" style="2" customWidth="1"/>
    <col min="31" max="31" width="9.140625" style="2"/>
    <col min="32" max="32" width="54.42578125" style="2" customWidth="1"/>
    <col min="33" max="16384" width="9.140625" style="2"/>
  </cols>
  <sheetData>
    <row r="1" spans="1:26" s="1" customFormat="1" ht="19.5" thickBot="1">
      <c r="A1" s="73" t="str">
        <f>"Assumptions for "&amp;Name</f>
        <v>Assumptions for Netflix</v>
      </c>
      <c r="P1" s="74"/>
      <c r="Q1" s="74"/>
      <c r="S1" s="75"/>
      <c r="U1" s="76"/>
    </row>
    <row r="2" spans="1:26" ht="15">
      <c r="A2" s="8" t="str">
        <f>Subheader</f>
        <v>Dollars in millions, except per share</v>
      </c>
      <c r="B2" s="9"/>
      <c r="C2" s="9"/>
      <c r="D2" s="9"/>
      <c r="E2" s="9"/>
      <c r="F2" s="9"/>
      <c r="G2" s="9"/>
      <c r="H2" s="9"/>
      <c r="I2" s="9"/>
      <c r="J2" s="77"/>
      <c r="K2" s="9"/>
      <c r="L2" s="9"/>
      <c r="M2" s="9"/>
      <c r="N2" s="9"/>
      <c r="O2" s="9"/>
      <c r="P2" s="9"/>
      <c r="Q2" s="9"/>
      <c r="S2" s="78"/>
      <c r="U2" s="79"/>
      <c r="V2" s="79"/>
      <c r="W2" s="79"/>
      <c r="X2" s="79"/>
      <c r="Y2" s="79"/>
      <c r="Z2" s="79"/>
    </row>
    <row r="3" spans="1:26" ht="15">
      <c r="A3" s="3"/>
      <c r="J3" s="80"/>
      <c r="S3" s="78"/>
      <c r="U3" s="79"/>
      <c r="V3" s="79"/>
      <c r="W3" s="79"/>
      <c r="X3" s="79"/>
      <c r="Y3" s="79"/>
      <c r="Z3" s="79"/>
    </row>
    <row r="4" spans="1:26" ht="15">
      <c r="A4" s="81" t="s">
        <v>257</v>
      </c>
      <c r="B4" s="82"/>
      <c r="C4" s="82"/>
      <c r="D4" s="82"/>
      <c r="E4" s="82"/>
      <c r="F4" s="83" t="s">
        <v>258</v>
      </c>
      <c r="G4" s="82"/>
      <c r="H4" s="82"/>
      <c r="I4" s="83" t="s">
        <v>259</v>
      </c>
      <c r="J4" s="83" t="s">
        <v>257</v>
      </c>
      <c r="K4" s="82"/>
      <c r="L4" s="83" t="s">
        <v>258</v>
      </c>
      <c r="M4" s="82"/>
      <c r="N4" s="82"/>
      <c r="O4" s="84" t="s">
        <v>259</v>
      </c>
      <c r="S4" s="78"/>
      <c r="U4" s="79"/>
      <c r="V4" s="79"/>
      <c r="W4" s="79"/>
      <c r="X4" s="79"/>
      <c r="Y4" s="79"/>
      <c r="Z4" s="79"/>
    </row>
    <row r="5" spans="1:26" ht="15">
      <c r="A5" s="12" t="s">
        <v>1</v>
      </c>
      <c r="B5" s="13"/>
      <c r="C5" s="13"/>
      <c r="D5" s="13"/>
      <c r="E5" s="13"/>
      <c r="F5" s="85" t="s">
        <v>260</v>
      </c>
      <c r="G5" s="13"/>
      <c r="H5" s="13"/>
      <c r="I5" s="14" t="s">
        <v>261</v>
      </c>
      <c r="J5" s="13"/>
      <c r="K5" s="13"/>
      <c r="L5" s="86"/>
      <c r="M5" s="13"/>
      <c r="N5" s="13"/>
      <c r="O5" s="14"/>
      <c r="S5" s="78"/>
      <c r="U5" s="79"/>
      <c r="V5" s="79"/>
      <c r="W5" s="79"/>
      <c r="X5" s="79"/>
      <c r="Y5" s="79"/>
      <c r="Z5" s="79"/>
    </row>
    <row r="6" spans="1:26" ht="15">
      <c r="A6" s="20" t="s">
        <v>262</v>
      </c>
      <c r="F6" s="87" t="s">
        <v>263</v>
      </c>
      <c r="I6" s="29" t="s">
        <v>264</v>
      </c>
      <c r="J6" s="2" t="s">
        <v>265</v>
      </c>
      <c r="L6" s="88">
        <v>446</v>
      </c>
      <c r="O6" s="29" t="s">
        <v>266</v>
      </c>
      <c r="P6" s="89"/>
      <c r="S6" s="78"/>
      <c r="U6" s="79"/>
      <c r="V6" s="79"/>
      <c r="W6" s="79"/>
      <c r="X6" s="79"/>
      <c r="Y6" s="79"/>
      <c r="Z6" s="79"/>
    </row>
    <row r="7" spans="1:26" ht="15">
      <c r="A7" s="20" t="s">
        <v>267</v>
      </c>
      <c r="F7" s="90">
        <v>43830</v>
      </c>
      <c r="G7" s="89"/>
      <c r="I7" s="29" t="s">
        <v>268</v>
      </c>
      <c r="J7" s="2" t="s">
        <v>269</v>
      </c>
      <c r="L7" s="91">
        <f>16931.564+2562</f>
        <v>19493.563999999998</v>
      </c>
      <c r="O7" s="29" t="s">
        <v>270</v>
      </c>
      <c r="S7" s="78"/>
      <c r="U7" s="79"/>
      <c r="V7" s="79"/>
      <c r="W7" s="79"/>
      <c r="X7" s="79"/>
      <c r="Y7" s="79"/>
      <c r="Z7" s="79"/>
    </row>
    <row r="8" spans="1:26" ht="15">
      <c r="A8" s="20" t="s">
        <v>271</v>
      </c>
      <c r="F8" s="101">
        <v>0.21</v>
      </c>
      <c r="G8" s="89"/>
      <c r="I8" s="29" t="s">
        <v>272</v>
      </c>
      <c r="J8" s="2" t="s">
        <v>273</v>
      </c>
      <c r="L8" s="91">
        <v>0</v>
      </c>
      <c r="O8" s="29" t="s">
        <v>274</v>
      </c>
      <c r="S8" s="78"/>
      <c r="U8" s="79"/>
      <c r="V8" s="79"/>
      <c r="W8" s="79"/>
      <c r="X8" s="79"/>
      <c r="Y8" s="79"/>
      <c r="Z8" s="79"/>
    </row>
    <row r="9" spans="1:26" ht="15">
      <c r="A9" s="20" t="s">
        <v>275</v>
      </c>
      <c r="F9" s="90">
        <f>FYE</f>
        <v>43830</v>
      </c>
      <c r="G9" s="89"/>
      <c r="I9" s="29" t="s">
        <v>276</v>
      </c>
      <c r="J9" s="2" t="s">
        <v>277</v>
      </c>
      <c r="L9" s="91">
        <v>0</v>
      </c>
      <c r="O9" s="29" t="s">
        <v>278</v>
      </c>
      <c r="S9" s="78"/>
      <c r="U9" s="79"/>
      <c r="V9" s="79"/>
      <c r="W9" s="79"/>
      <c r="X9" s="79"/>
      <c r="Y9" s="79"/>
      <c r="Z9" s="79"/>
    </row>
    <row r="10" spans="1:26" ht="15">
      <c r="A10" s="20" t="s">
        <v>279</v>
      </c>
      <c r="F10" s="92">
        <v>0.02</v>
      </c>
      <c r="G10" s="89"/>
      <c r="I10" s="29" t="s">
        <v>280</v>
      </c>
      <c r="J10" s="2" t="s">
        <v>281</v>
      </c>
      <c r="L10" s="91">
        <v>6058.4520000000002</v>
      </c>
      <c r="M10" s="89"/>
      <c r="O10" s="29" t="s">
        <v>282</v>
      </c>
      <c r="S10" s="78"/>
      <c r="U10" s="79"/>
      <c r="V10" s="79"/>
      <c r="W10" s="79"/>
      <c r="X10" s="79"/>
      <c r="Y10" s="79"/>
      <c r="Z10" s="79"/>
    </row>
    <row r="11" spans="1:26" ht="15">
      <c r="A11" s="20" t="s">
        <v>283</v>
      </c>
      <c r="F11" s="92">
        <f>'WACCtemplate '!H22</f>
        <v>8.480791E-2</v>
      </c>
      <c r="I11" s="29" t="s">
        <v>284</v>
      </c>
      <c r="L11" s="93"/>
      <c r="M11" s="89"/>
      <c r="O11" s="29"/>
      <c r="S11" s="78"/>
      <c r="U11" s="79"/>
      <c r="V11" s="79"/>
      <c r="W11" s="79"/>
      <c r="X11" s="79"/>
      <c r="Y11" s="79"/>
      <c r="Z11" s="79"/>
    </row>
    <row r="12" spans="1:26" ht="15">
      <c r="A12" s="20" t="s">
        <v>285</v>
      </c>
      <c r="F12" s="94">
        <f>Comparables!D19</f>
        <v>10.227481661040391</v>
      </c>
      <c r="G12" s="89"/>
      <c r="I12" s="29" t="s">
        <v>286</v>
      </c>
      <c r="L12" s="93"/>
      <c r="M12" s="89"/>
      <c r="O12" s="29"/>
      <c r="S12" s="78"/>
      <c r="U12" s="79"/>
      <c r="V12" s="79"/>
      <c r="W12" s="79"/>
      <c r="X12" s="79"/>
      <c r="Y12" s="79"/>
      <c r="Z12" s="79"/>
    </row>
    <row r="13" spans="1:26" ht="15">
      <c r="A13" s="95" t="s">
        <v>287</v>
      </c>
      <c r="B13" s="56"/>
      <c r="C13" s="56"/>
      <c r="D13" s="56"/>
      <c r="E13" s="56"/>
      <c r="F13" s="96">
        <v>0</v>
      </c>
      <c r="G13" s="97"/>
      <c r="H13" s="56"/>
      <c r="I13" s="98" t="s">
        <v>288</v>
      </c>
      <c r="J13" s="56"/>
      <c r="K13" s="56"/>
      <c r="L13" s="99"/>
      <c r="M13" s="97"/>
      <c r="N13" s="56"/>
      <c r="O13" s="98"/>
      <c r="S13" s="78"/>
      <c r="U13" s="79"/>
      <c r="V13" s="79"/>
      <c r="W13" s="79"/>
      <c r="X13" s="79"/>
      <c r="Y13" s="79"/>
      <c r="Z13" s="79"/>
    </row>
  </sheetData>
  <printOptions horizontalCentered="1"/>
  <pageMargins left="0.5" right="0.5" top="0.7" bottom="0.65" header="0.25" footer="0.25"/>
  <pageSetup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ED1F-41AE-4730-A6F4-214A84143BD1}">
  <sheetPr>
    <outlinePr summaryBelow="0" summaryRight="0"/>
    <pageSetUpPr autoPageBreaks="0"/>
  </sheetPr>
  <dimension ref="A5:IU121"/>
  <sheetViews>
    <sheetView zoomScale="99" zoomScaleNormal="99" workbookViewId="0">
      <pane xSplit="1" topLeftCell="I1" activePane="topRight" state="frozen"/>
      <selection pane="topRight" activeCell="O25" sqref="O25"/>
    </sheetView>
  </sheetViews>
  <sheetFormatPr defaultRowHeight="11.25"/>
  <cols>
    <col min="1" max="1" width="29.42578125" style="171" customWidth="1"/>
    <col min="2" max="2" width="10.85546875" style="171" bestFit="1" customWidth="1"/>
    <col min="3" max="3" width="20.7109375" style="171" bestFit="1" customWidth="1"/>
    <col min="4" max="4" width="10.140625" style="171" bestFit="1" customWidth="1"/>
    <col min="5" max="5" width="11.5703125" style="172" bestFit="1" customWidth="1"/>
    <col min="6" max="6" width="14" style="171" bestFit="1" customWidth="1"/>
    <col min="7" max="7" width="10.140625" style="171" bestFit="1" customWidth="1"/>
    <col min="8" max="8" width="33.28515625" style="171" bestFit="1" customWidth="1"/>
    <col min="9" max="16" width="10.42578125" style="171" bestFit="1" customWidth="1"/>
    <col min="17" max="18" width="10.42578125" style="171" hidden="1" customWidth="1"/>
    <col min="19" max="19" width="6.28515625" style="171" bestFit="1" customWidth="1"/>
    <col min="20" max="20" width="9.85546875" style="171" bestFit="1" customWidth="1"/>
    <col min="21" max="256" width="9.140625" style="171"/>
    <col min="257" max="257" width="29.42578125" style="171" customWidth="1"/>
    <col min="258" max="258" width="10.85546875" style="171" bestFit="1" customWidth="1"/>
    <col min="259" max="259" width="20.7109375" style="171" bestFit="1" customWidth="1"/>
    <col min="260" max="260" width="10.140625" style="171" bestFit="1" customWidth="1"/>
    <col min="261" max="261" width="11.5703125" style="171" bestFit="1" customWidth="1"/>
    <col min="262" max="262" width="14" style="171" bestFit="1" customWidth="1"/>
    <col min="263" max="263" width="10.140625" style="171" bestFit="1" customWidth="1"/>
    <col min="264" max="264" width="33.28515625" style="171" bestFit="1" customWidth="1"/>
    <col min="265" max="272" width="10.42578125" style="171" bestFit="1" customWidth="1"/>
    <col min="273" max="274" width="0" style="171" hidden="1" customWidth="1"/>
    <col min="275" max="275" width="6.28515625" style="171" bestFit="1" customWidth="1"/>
    <col min="276" max="276" width="9.85546875" style="171" bestFit="1" customWidth="1"/>
    <col min="277" max="512" width="9.140625" style="171"/>
    <col min="513" max="513" width="29.42578125" style="171" customWidth="1"/>
    <col min="514" max="514" width="10.85546875" style="171" bestFit="1" customWidth="1"/>
    <col min="515" max="515" width="20.7109375" style="171" bestFit="1" customWidth="1"/>
    <col min="516" max="516" width="10.140625" style="171" bestFit="1" customWidth="1"/>
    <col min="517" max="517" width="11.5703125" style="171" bestFit="1" customWidth="1"/>
    <col min="518" max="518" width="14" style="171" bestFit="1" customWidth="1"/>
    <col min="519" max="519" width="10.140625" style="171" bestFit="1" customWidth="1"/>
    <col min="520" max="520" width="33.28515625" style="171" bestFit="1" customWidth="1"/>
    <col min="521" max="528" width="10.42578125" style="171" bestFit="1" customWidth="1"/>
    <col min="529" max="530" width="0" style="171" hidden="1" customWidth="1"/>
    <col min="531" max="531" width="6.28515625" style="171" bestFit="1" customWidth="1"/>
    <col min="532" max="532" width="9.85546875" style="171" bestFit="1" customWidth="1"/>
    <col min="533" max="768" width="9.140625" style="171"/>
    <col min="769" max="769" width="29.42578125" style="171" customWidth="1"/>
    <col min="770" max="770" width="10.85546875" style="171" bestFit="1" customWidth="1"/>
    <col min="771" max="771" width="20.7109375" style="171" bestFit="1" customWidth="1"/>
    <col min="772" max="772" width="10.140625" style="171" bestFit="1" customWidth="1"/>
    <col min="773" max="773" width="11.5703125" style="171" bestFit="1" customWidth="1"/>
    <col min="774" max="774" width="14" style="171" bestFit="1" customWidth="1"/>
    <col min="775" max="775" width="10.140625" style="171" bestFit="1" customWidth="1"/>
    <col min="776" max="776" width="33.28515625" style="171" bestFit="1" customWidth="1"/>
    <col min="777" max="784" width="10.42578125" style="171" bestFit="1" customWidth="1"/>
    <col min="785" max="786" width="0" style="171" hidden="1" customWidth="1"/>
    <col min="787" max="787" width="6.28515625" style="171" bestFit="1" customWidth="1"/>
    <col min="788" max="788" width="9.85546875" style="171" bestFit="1" customWidth="1"/>
    <col min="789" max="1024" width="9.140625" style="171"/>
    <col min="1025" max="1025" width="29.42578125" style="171" customWidth="1"/>
    <col min="1026" max="1026" width="10.85546875" style="171" bestFit="1" customWidth="1"/>
    <col min="1027" max="1027" width="20.7109375" style="171" bestFit="1" customWidth="1"/>
    <col min="1028" max="1028" width="10.140625" style="171" bestFit="1" customWidth="1"/>
    <col min="1029" max="1029" width="11.5703125" style="171" bestFit="1" customWidth="1"/>
    <col min="1030" max="1030" width="14" style="171" bestFit="1" customWidth="1"/>
    <col min="1031" max="1031" width="10.140625" style="171" bestFit="1" customWidth="1"/>
    <col min="1032" max="1032" width="33.28515625" style="171" bestFit="1" customWidth="1"/>
    <col min="1033" max="1040" width="10.42578125" style="171" bestFit="1" customWidth="1"/>
    <col min="1041" max="1042" width="0" style="171" hidden="1" customWidth="1"/>
    <col min="1043" max="1043" width="6.28515625" style="171" bestFit="1" customWidth="1"/>
    <col min="1044" max="1044" width="9.85546875" style="171" bestFit="1" customWidth="1"/>
    <col min="1045" max="1280" width="9.140625" style="171"/>
    <col min="1281" max="1281" width="29.42578125" style="171" customWidth="1"/>
    <col min="1282" max="1282" width="10.85546875" style="171" bestFit="1" customWidth="1"/>
    <col min="1283" max="1283" width="20.7109375" style="171" bestFit="1" customWidth="1"/>
    <col min="1284" max="1284" width="10.140625" style="171" bestFit="1" customWidth="1"/>
    <col min="1285" max="1285" width="11.5703125" style="171" bestFit="1" customWidth="1"/>
    <col min="1286" max="1286" width="14" style="171" bestFit="1" customWidth="1"/>
    <col min="1287" max="1287" width="10.140625" style="171" bestFit="1" customWidth="1"/>
    <col min="1288" max="1288" width="33.28515625" style="171" bestFit="1" customWidth="1"/>
    <col min="1289" max="1296" width="10.42578125" style="171" bestFit="1" customWidth="1"/>
    <col min="1297" max="1298" width="0" style="171" hidden="1" customWidth="1"/>
    <col min="1299" max="1299" width="6.28515625" style="171" bestFit="1" customWidth="1"/>
    <col min="1300" max="1300" width="9.85546875" style="171" bestFit="1" customWidth="1"/>
    <col min="1301" max="1536" width="9.140625" style="171"/>
    <col min="1537" max="1537" width="29.42578125" style="171" customWidth="1"/>
    <col min="1538" max="1538" width="10.85546875" style="171" bestFit="1" customWidth="1"/>
    <col min="1539" max="1539" width="20.7109375" style="171" bestFit="1" customWidth="1"/>
    <col min="1540" max="1540" width="10.140625" style="171" bestFit="1" customWidth="1"/>
    <col min="1541" max="1541" width="11.5703125" style="171" bestFit="1" customWidth="1"/>
    <col min="1542" max="1542" width="14" style="171" bestFit="1" customWidth="1"/>
    <col min="1543" max="1543" width="10.140625" style="171" bestFit="1" customWidth="1"/>
    <col min="1544" max="1544" width="33.28515625" style="171" bestFit="1" customWidth="1"/>
    <col min="1545" max="1552" width="10.42578125" style="171" bestFit="1" customWidth="1"/>
    <col min="1553" max="1554" width="0" style="171" hidden="1" customWidth="1"/>
    <col min="1555" max="1555" width="6.28515625" style="171" bestFit="1" customWidth="1"/>
    <col min="1556" max="1556" width="9.85546875" style="171" bestFit="1" customWidth="1"/>
    <col min="1557" max="1792" width="9.140625" style="171"/>
    <col min="1793" max="1793" width="29.42578125" style="171" customWidth="1"/>
    <col min="1794" max="1794" width="10.85546875" style="171" bestFit="1" customWidth="1"/>
    <col min="1795" max="1795" width="20.7109375" style="171" bestFit="1" customWidth="1"/>
    <col min="1796" max="1796" width="10.140625" style="171" bestFit="1" customWidth="1"/>
    <col min="1797" max="1797" width="11.5703125" style="171" bestFit="1" customWidth="1"/>
    <col min="1798" max="1798" width="14" style="171" bestFit="1" customWidth="1"/>
    <col min="1799" max="1799" width="10.140625" style="171" bestFit="1" customWidth="1"/>
    <col min="1800" max="1800" width="33.28515625" style="171" bestFit="1" customWidth="1"/>
    <col min="1801" max="1808" width="10.42578125" style="171" bestFit="1" customWidth="1"/>
    <col min="1809" max="1810" width="0" style="171" hidden="1" customWidth="1"/>
    <col min="1811" max="1811" width="6.28515625" style="171" bestFit="1" customWidth="1"/>
    <col min="1812" max="1812" width="9.85546875" style="171" bestFit="1" customWidth="1"/>
    <col min="1813" max="2048" width="9.140625" style="171"/>
    <col min="2049" max="2049" width="29.42578125" style="171" customWidth="1"/>
    <col min="2050" max="2050" width="10.85546875" style="171" bestFit="1" customWidth="1"/>
    <col min="2051" max="2051" width="20.7109375" style="171" bestFit="1" customWidth="1"/>
    <col min="2052" max="2052" width="10.140625" style="171" bestFit="1" customWidth="1"/>
    <col min="2053" max="2053" width="11.5703125" style="171" bestFit="1" customWidth="1"/>
    <col min="2054" max="2054" width="14" style="171" bestFit="1" customWidth="1"/>
    <col min="2055" max="2055" width="10.140625" style="171" bestFit="1" customWidth="1"/>
    <col min="2056" max="2056" width="33.28515625" style="171" bestFit="1" customWidth="1"/>
    <col min="2057" max="2064" width="10.42578125" style="171" bestFit="1" customWidth="1"/>
    <col min="2065" max="2066" width="0" style="171" hidden="1" customWidth="1"/>
    <col min="2067" max="2067" width="6.28515625" style="171" bestFit="1" customWidth="1"/>
    <col min="2068" max="2068" width="9.85546875" style="171" bestFit="1" customWidth="1"/>
    <col min="2069" max="2304" width="9.140625" style="171"/>
    <col min="2305" max="2305" width="29.42578125" style="171" customWidth="1"/>
    <col min="2306" max="2306" width="10.85546875" style="171" bestFit="1" customWidth="1"/>
    <col min="2307" max="2307" width="20.7109375" style="171" bestFit="1" customWidth="1"/>
    <col min="2308" max="2308" width="10.140625" style="171" bestFit="1" customWidth="1"/>
    <col min="2309" max="2309" width="11.5703125" style="171" bestFit="1" customWidth="1"/>
    <col min="2310" max="2310" width="14" style="171" bestFit="1" customWidth="1"/>
    <col min="2311" max="2311" width="10.140625" style="171" bestFit="1" customWidth="1"/>
    <col min="2312" max="2312" width="33.28515625" style="171" bestFit="1" customWidth="1"/>
    <col min="2313" max="2320" width="10.42578125" style="171" bestFit="1" customWidth="1"/>
    <col min="2321" max="2322" width="0" style="171" hidden="1" customWidth="1"/>
    <col min="2323" max="2323" width="6.28515625" style="171" bestFit="1" customWidth="1"/>
    <col min="2324" max="2324" width="9.85546875" style="171" bestFit="1" customWidth="1"/>
    <col min="2325" max="2560" width="9.140625" style="171"/>
    <col min="2561" max="2561" width="29.42578125" style="171" customWidth="1"/>
    <col min="2562" max="2562" width="10.85546875" style="171" bestFit="1" customWidth="1"/>
    <col min="2563" max="2563" width="20.7109375" style="171" bestFit="1" customWidth="1"/>
    <col min="2564" max="2564" width="10.140625" style="171" bestFit="1" customWidth="1"/>
    <col min="2565" max="2565" width="11.5703125" style="171" bestFit="1" customWidth="1"/>
    <col min="2566" max="2566" width="14" style="171" bestFit="1" customWidth="1"/>
    <col min="2567" max="2567" width="10.140625" style="171" bestFit="1" customWidth="1"/>
    <col min="2568" max="2568" width="33.28515625" style="171" bestFit="1" customWidth="1"/>
    <col min="2569" max="2576" width="10.42578125" style="171" bestFit="1" customWidth="1"/>
    <col min="2577" max="2578" width="0" style="171" hidden="1" customWidth="1"/>
    <col min="2579" max="2579" width="6.28515625" style="171" bestFit="1" customWidth="1"/>
    <col min="2580" max="2580" width="9.85546875" style="171" bestFit="1" customWidth="1"/>
    <col min="2581" max="2816" width="9.140625" style="171"/>
    <col min="2817" max="2817" width="29.42578125" style="171" customWidth="1"/>
    <col min="2818" max="2818" width="10.85546875" style="171" bestFit="1" customWidth="1"/>
    <col min="2819" max="2819" width="20.7109375" style="171" bestFit="1" customWidth="1"/>
    <col min="2820" max="2820" width="10.140625" style="171" bestFit="1" customWidth="1"/>
    <col min="2821" max="2821" width="11.5703125" style="171" bestFit="1" customWidth="1"/>
    <col min="2822" max="2822" width="14" style="171" bestFit="1" customWidth="1"/>
    <col min="2823" max="2823" width="10.140625" style="171" bestFit="1" customWidth="1"/>
    <col min="2824" max="2824" width="33.28515625" style="171" bestFit="1" customWidth="1"/>
    <col min="2825" max="2832" width="10.42578125" style="171" bestFit="1" customWidth="1"/>
    <col min="2833" max="2834" width="0" style="171" hidden="1" customWidth="1"/>
    <col min="2835" max="2835" width="6.28515625" style="171" bestFit="1" customWidth="1"/>
    <col min="2836" max="2836" width="9.85546875" style="171" bestFit="1" customWidth="1"/>
    <col min="2837" max="3072" width="9.140625" style="171"/>
    <col min="3073" max="3073" width="29.42578125" style="171" customWidth="1"/>
    <col min="3074" max="3074" width="10.85546875" style="171" bestFit="1" customWidth="1"/>
    <col min="3075" max="3075" width="20.7109375" style="171" bestFit="1" customWidth="1"/>
    <col min="3076" max="3076" width="10.140625" style="171" bestFit="1" customWidth="1"/>
    <col min="3077" max="3077" width="11.5703125" style="171" bestFit="1" customWidth="1"/>
    <col min="3078" max="3078" width="14" style="171" bestFit="1" customWidth="1"/>
    <col min="3079" max="3079" width="10.140625" style="171" bestFit="1" customWidth="1"/>
    <col min="3080" max="3080" width="33.28515625" style="171" bestFit="1" customWidth="1"/>
    <col min="3081" max="3088" width="10.42578125" style="171" bestFit="1" customWidth="1"/>
    <col min="3089" max="3090" width="0" style="171" hidden="1" customWidth="1"/>
    <col min="3091" max="3091" width="6.28515625" style="171" bestFit="1" customWidth="1"/>
    <col min="3092" max="3092" width="9.85546875" style="171" bestFit="1" customWidth="1"/>
    <col min="3093" max="3328" width="9.140625" style="171"/>
    <col min="3329" max="3329" width="29.42578125" style="171" customWidth="1"/>
    <col min="3330" max="3330" width="10.85546875" style="171" bestFit="1" customWidth="1"/>
    <col min="3331" max="3331" width="20.7109375" style="171" bestFit="1" customWidth="1"/>
    <col min="3332" max="3332" width="10.140625" style="171" bestFit="1" customWidth="1"/>
    <col min="3333" max="3333" width="11.5703125" style="171" bestFit="1" customWidth="1"/>
    <col min="3334" max="3334" width="14" style="171" bestFit="1" customWidth="1"/>
    <col min="3335" max="3335" width="10.140625" style="171" bestFit="1" customWidth="1"/>
    <col min="3336" max="3336" width="33.28515625" style="171" bestFit="1" customWidth="1"/>
    <col min="3337" max="3344" width="10.42578125" style="171" bestFit="1" customWidth="1"/>
    <col min="3345" max="3346" width="0" style="171" hidden="1" customWidth="1"/>
    <col min="3347" max="3347" width="6.28515625" style="171" bestFit="1" customWidth="1"/>
    <col min="3348" max="3348" width="9.85546875" style="171" bestFit="1" customWidth="1"/>
    <col min="3349" max="3584" width="9.140625" style="171"/>
    <col min="3585" max="3585" width="29.42578125" style="171" customWidth="1"/>
    <col min="3586" max="3586" width="10.85546875" style="171" bestFit="1" customWidth="1"/>
    <col min="3587" max="3587" width="20.7109375" style="171" bestFit="1" customWidth="1"/>
    <col min="3588" max="3588" width="10.140625" style="171" bestFit="1" customWidth="1"/>
    <col min="3589" max="3589" width="11.5703125" style="171" bestFit="1" customWidth="1"/>
    <col min="3590" max="3590" width="14" style="171" bestFit="1" customWidth="1"/>
    <col min="3591" max="3591" width="10.140625" style="171" bestFit="1" customWidth="1"/>
    <col min="3592" max="3592" width="33.28515625" style="171" bestFit="1" customWidth="1"/>
    <col min="3593" max="3600" width="10.42578125" style="171" bestFit="1" customWidth="1"/>
    <col min="3601" max="3602" width="0" style="171" hidden="1" customWidth="1"/>
    <col min="3603" max="3603" width="6.28515625" style="171" bestFit="1" customWidth="1"/>
    <col min="3604" max="3604" width="9.85546875" style="171" bestFit="1" customWidth="1"/>
    <col min="3605" max="3840" width="9.140625" style="171"/>
    <col min="3841" max="3841" width="29.42578125" style="171" customWidth="1"/>
    <col min="3842" max="3842" width="10.85546875" style="171" bestFit="1" customWidth="1"/>
    <col min="3843" max="3843" width="20.7109375" style="171" bestFit="1" customWidth="1"/>
    <col min="3844" max="3844" width="10.140625" style="171" bestFit="1" customWidth="1"/>
    <col min="3845" max="3845" width="11.5703125" style="171" bestFit="1" customWidth="1"/>
    <col min="3846" max="3846" width="14" style="171" bestFit="1" customWidth="1"/>
    <col min="3847" max="3847" width="10.140625" style="171" bestFit="1" customWidth="1"/>
    <col min="3848" max="3848" width="33.28515625" style="171" bestFit="1" customWidth="1"/>
    <col min="3849" max="3856" width="10.42578125" style="171" bestFit="1" customWidth="1"/>
    <col min="3857" max="3858" width="0" style="171" hidden="1" customWidth="1"/>
    <col min="3859" max="3859" width="6.28515625" style="171" bestFit="1" customWidth="1"/>
    <col min="3860" max="3860" width="9.85546875" style="171" bestFit="1" customWidth="1"/>
    <col min="3861" max="4096" width="9.140625" style="171"/>
    <col min="4097" max="4097" width="29.42578125" style="171" customWidth="1"/>
    <col min="4098" max="4098" width="10.85546875" style="171" bestFit="1" customWidth="1"/>
    <col min="4099" max="4099" width="20.7109375" style="171" bestFit="1" customWidth="1"/>
    <col min="4100" max="4100" width="10.140625" style="171" bestFit="1" customWidth="1"/>
    <col min="4101" max="4101" width="11.5703125" style="171" bestFit="1" customWidth="1"/>
    <col min="4102" max="4102" width="14" style="171" bestFit="1" customWidth="1"/>
    <col min="4103" max="4103" width="10.140625" style="171" bestFit="1" customWidth="1"/>
    <col min="4104" max="4104" width="33.28515625" style="171" bestFit="1" customWidth="1"/>
    <col min="4105" max="4112" width="10.42578125" style="171" bestFit="1" customWidth="1"/>
    <col min="4113" max="4114" width="0" style="171" hidden="1" customWidth="1"/>
    <col min="4115" max="4115" width="6.28515625" style="171" bestFit="1" customWidth="1"/>
    <col min="4116" max="4116" width="9.85546875" style="171" bestFit="1" customWidth="1"/>
    <col min="4117" max="4352" width="9.140625" style="171"/>
    <col min="4353" max="4353" width="29.42578125" style="171" customWidth="1"/>
    <col min="4354" max="4354" width="10.85546875" style="171" bestFit="1" customWidth="1"/>
    <col min="4355" max="4355" width="20.7109375" style="171" bestFit="1" customWidth="1"/>
    <col min="4356" max="4356" width="10.140625" style="171" bestFit="1" customWidth="1"/>
    <col min="4357" max="4357" width="11.5703125" style="171" bestFit="1" customWidth="1"/>
    <col min="4358" max="4358" width="14" style="171" bestFit="1" customWidth="1"/>
    <col min="4359" max="4359" width="10.140625" style="171" bestFit="1" customWidth="1"/>
    <col min="4360" max="4360" width="33.28515625" style="171" bestFit="1" customWidth="1"/>
    <col min="4361" max="4368" width="10.42578125" style="171" bestFit="1" customWidth="1"/>
    <col min="4369" max="4370" width="0" style="171" hidden="1" customWidth="1"/>
    <col min="4371" max="4371" width="6.28515625" style="171" bestFit="1" customWidth="1"/>
    <col min="4372" max="4372" width="9.85546875" style="171" bestFit="1" customWidth="1"/>
    <col min="4373" max="4608" width="9.140625" style="171"/>
    <col min="4609" max="4609" width="29.42578125" style="171" customWidth="1"/>
    <col min="4610" max="4610" width="10.85546875" style="171" bestFit="1" customWidth="1"/>
    <col min="4611" max="4611" width="20.7109375" style="171" bestFit="1" customWidth="1"/>
    <col min="4612" max="4612" width="10.140625" style="171" bestFit="1" customWidth="1"/>
    <col min="4613" max="4613" width="11.5703125" style="171" bestFit="1" customWidth="1"/>
    <col min="4614" max="4614" width="14" style="171" bestFit="1" customWidth="1"/>
    <col min="4615" max="4615" width="10.140625" style="171" bestFit="1" customWidth="1"/>
    <col min="4616" max="4616" width="33.28515625" style="171" bestFit="1" customWidth="1"/>
    <col min="4617" max="4624" width="10.42578125" style="171" bestFit="1" customWidth="1"/>
    <col min="4625" max="4626" width="0" style="171" hidden="1" customWidth="1"/>
    <col min="4627" max="4627" width="6.28515625" style="171" bestFit="1" customWidth="1"/>
    <col min="4628" max="4628" width="9.85546875" style="171" bestFit="1" customWidth="1"/>
    <col min="4629" max="4864" width="9.140625" style="171"/>
    <col min="4865" max="4865" width="29.42578125" style="171" customWidth="1"/>
    <col min="4866" max="4866" width="10.85546875" style="171" bestFit="1" customWidth="1"/>
    <col min="4867" max="4867" width="20.7109375" style="171" bestFit="1" customWidth="1"/>
    <col min="4868" max="4868" width="10.140625" style="171" bestFit="1" customWidth="1"/>
    <col min="4869" max="4869" width="11.5703125" style="171" bestFit="1" customWidth="1"/>
    <col min="4870" max="4870" width="14" style="171" bestFit="1" customWidth="1"/>
    <col min="4871" max="4871" width="10.140625" style="171" bestFit="1" customWidth="1"/>
    <col min="4872" max="4872" width="33.28515625" style="171" bestFit="1" customWidth="1"/>
    <col min="4873" max="4880" width="10.42578125" style="171" bestFit="1" customWidth="1"/>
    <col min="4881" max="4882" width="0" style="171" hidden="1" customWidth="1"/>
    <col min="4883" max="4883" width="6.28515625" style="171" bestFit="1" customWidth="1"/>
    <col min="4884" max="4884" width="9.85546875" style="171" bestFit="1" customWidth="1"/>
    <col min="4885" max="5120" width="9.140625" style="171"/>
    <col min="5121" max="5121" width="29.42578125" style="171" customWidth="1"/>
    <col min="5122" max="5122" width="10.85546875" style="171" bestFit="1" customWidth="1"/>
    <col min="5123" max="5123" width="20.7109375" style="171" bestFit="1" customWidth="1"/>
    <col min="5124" max="5124" width="10.140625" style="171" bestFit="1" customWidth="1"/>
    <col min="5125" max="5125" width="11.5703125" style="171" bestFit="1" customWidth="1"/>
    <col min="5126" max="5126" width="14" style="171" bestFit="1" customWidth="1"/>
    <col min="5127" max="5127" width="10.140625" style="171" bestFit="1" customWidth="1"/>
    <col min="5128" max="5128" width="33.28515625" style="171" bestFit="1" customWidth="1"/>
    <col min="5129" max="5136" width="10.42578125" style="171" bestFit="1" customWidth="1"/>
    <col min="5137" max="5138" width="0" style="171" hidden="1" customWidth="1"/>
    <col min="5139" max="5139" width="6.28515625" style="171" bestFit="1" customWidth="1"/>
    <col min="5140" max="5140" width="9.85546875" style="171" bestFit="1" customWidth="1"/>
    <col min="5141" max="5376" width="9.140625" style="171"/>
    <col min="5377" max="5377" width="29.42578125" style="171" customWidth="1"/>
    <col min="5378" max="5378" width="10.85546875" style="171" bestFit="1" customWidth="1"/>
    <col min="5379" max="5379" width="20.7109375" style="171" bestFit="1" customWidth="1"/>
    <col min="5380" max="5380" width="10.140625" style="171" bestFit="1" customWidth="1"/>
    <col min="5381" max="5381" width="11.5703125" style="171" bestFit="1" customWidth="1"/>
    <col min="5382" max="5382" width="14" style="171" bestFit="1" customWidth="1"/>
    <col min="5383" max="5383" width="10.140625" style="171" bestFit="1" customWidth="1"/>
    <col min="5384" max="5384" width="33.28515625" style="171" bestFit="1" customWidth="1"/>
    <col min="5385" max="5392" width="10.42578125" style="171" bestFit="1" customWidth="1"/>
    <col min="5393" max="5394" width="0" style="171" hidden="1" customWidth="1"/>
    <col min="5395" max="5395" width="6.28515625" style="171" bestFit="1" customWidth="1"/>
    <col min="5396" max="5396" width="9.85546875" style="171" bestFit="1" customWidth="1"/>
    <col min="5397" max="5632" width="9.140625" style="171"/>
    <col min="5633" max="5633" width="29.42578125" style="171" customWidth="1"/>
    <col min="5634" max="5634" width="10.85546875" style="171" bestFit="1" customWidth="1"/>
    <col min="5635" max="5635" width="20.7109375" style="171" bestFit="1" customWidth="1"/>
    <col min="5636" max="5636" width="10.140625" style="171" bestFit="1" customWidth="1"/>
    <col min="5637" max="5637" width="11.5703125" style="171" bestFit="1" customWidth="1"/>
    <col min="5638" max="5638" width="14" style="171" bestFit="1" customWidth="1"/>
    <col min="5639" max="5639" width="10.140625" style="171" bestFit="1" customWidth="1"/>
    <col min="5640" max="5640" width="33.28515625" style="171" bestFit="1" customWidth="1"/>
    <col min="5641" max="5648" width="10.42578125" style="171" bestFit="1" customWidth="1"/>
    <col min="5649" max="5650" width="0" style="171" hidden="1" customWidth="1"/>
    <col min="5651" max="5651" width="6.28515625" style="171" bestFit="1" customWidth="1"/>
    <col min="5652" max="5652" width="9.85546875" style="171" bestFit="1" customWidth="1"/>
    <col min="5653" max="5888" width="9.140625" style="171"/>
    <col min="5889" max="5889" width="29.42578125" style="171" customWidth="1"/>
    <col min="5890" max="5890" width="10.85546875" style="171" bestFit="1" customWidth="1"/>
    <col min="5891" max="5891" width="20.7109375" style="171" bestFit="1" customWidth="1"/>
    <col min="5892" max="5892" width="10.140625" style="171" bestFit="1" customWidth="1"/>
    <col min="5893" max="5893" width="11.5703125" style="171" bestFit="1" customWidth="1"/>
    <col min="5894" max="5894" width="14" style="171" bestFit="1" customWidth="1"/>
    <col min="5895" max="5895" width="10.140625" style="171" bestFit="1" customWidth="1"/>
    <col min="5896" max="5896" width="33.28515625" style="171" bestFit="1" customWidth="1"/>
    <col min="5897" max="5904" width="10.42578125" style="171" bestFit="1" customWidth="1"/>
    <col min="5905" max="5906" width="0" style="171" hidden="1" customWidth="1"/>
    <col min="5907" max="5907" width="6.28515625" style="171" bestFit="1" customWidth="1"/>
    <col min="5908" max="5908" width="9.85546875" style="171" bestFit="1" customWidth="1"/>
    <col min="5909" max="6144" width="9.140625" style="171"/>
    <col min="6145" max="6145" width="29.42578125" style="171" customWidth="1"/>
    <col min="6146" max="6146" width="10.85546875" style="171" bestFit="1" customWidth="1"/>
    <col min="6147" max="6147" width="20.7109375" style="171" bestFit="1" customWidth="1"/>
    <col min="6148" max="6148" width="10.140625" style="171" bestFit="1" customWidth="1"/>
    <col min="6149" max="6149" width="11.5703125" style="171" bestFit="1" customWidth="1"/>
    <col min="6150" max="6150" width="14" style="171" bestFit="1" customWidth="1"/>
    <col min="6151" max="6151" width="10.140625" style="171" bestFit="1" customWidth="1"/>
    <col min="6152" max="6152" width="33.28515625" style="171" bestFit="1" customWidth="1"/>
    <col min="6153" max="6160" width="10.42578125" style="171" bestFit="1" customWidth="1"/>
    <col min="6161" max="6162" width="0" style="171" hidden="1" customWidth="1"/>
    <col min="6163" max="6163" width="6.28515625" style="171" bestFit="1" customWidth="1"/>
    <col min="6164" max="6164" width="9.85546875" style="171" bestFit="1" customWidth="1"/>
    <col min="6165" max="6400" width="9.140625" style="171"/>
    <col min="6401" max="6401" width="29.42578125" style="171" customWidth="1"/>
    <col min="6402" max="6402" width="10.85546875" style="171" bestFit="1" customWidth="1"/>
    <col min="6403" max="6403" width="20.7109375" style="171" bestFit="1" customWidth="1"/>
    <col min="6404" max="6404" width="10.140625" style="171" bestFit="1" customWidth="1"/>
    <col min="6405" max="6405" width="11.5703125" style="171" bestFit="1" customWidth="1"/>
    <col min="6406" max="6406" width="14" style="171" bestFit="1" customWidth="1"/>
    <col min="6407" max="6407" width="10.140625" style="171" bestFit="1" customWidth="1"/>
    <col min="6408" max="6408" width="33.28515625" style="171" bestFit="1" customWidth="1"/>
    <col min="6409" max="6416" width="10.42578125" style="171" bestFit="1" customWidth="1"/>
    <col min="6417" max="6418" width="0" style="171" hidden="1" customWidth="1"/>
    <col min="6419" max="6419" width="6.28515625" style="171" bestFit="1" customWidth="1"/>
    <col min="6420" max="6420" width="9.85546875" style="171" bestFit="1" customWidth="1"/>
    <col min="6421" max="6656" width="9.140625" style="171"/>
    <col min="6657" max="6657" width="29.42578125" style="171" customWidth="1"/>
    <col min="6658" max="6658" width="10.85546875" style="171" bestFit="1" customWidth="1"/>
    <col min="6659" max="6659" width="20.7109375" style="171" bestFit="1" customWidth="1"/>
    <col min="6660" max="6660" width="10.140625" style="171" bestFit="1" customWidth="1"/>
    <col min="6661" max="6661" width="11.5703125" style="171" bestFit="1" customWidth="1"/>
    <col min="6662" max="6662" width="14" style="171" bestFit="1" customWidth="1"/>
    <col min="6663" max="6663" width="10.140625" style="171" bestFit="1" customWidth="1"/>
    <col min="6664" max="6664" width="33.28515625" style="171" bestFit="1" customWidth="1"/>
    <col min="6665" max="6672" width="10.42578125" style="171" bestFit="1" customWidth="1"/>
    <col min="6673" max="6674" width="0" style="171" hidden="1" customWidth="1"/>
    <col min="6675" max="6675" width="6.28515625" style="171" bestFit="1" customWidth="1"/>
    <col min="6676" max="6676" width="9.85546875" style="171" bestFit="1" customWidth="1"/>
    <col min="6677" max="6912" width="9.140625" style="171"/>
    <col min="6913" max="6913" width="29.42578125" style="171" customWidth="1"/>
    <col min="6914" max="6914" width="10.85546875" style="171" bestFit="1" customWidth="1"/>
    <col min="6915" max="6915" width="20.7109375" style="171" bestFit="1" customWidth="1"/>
    <col min="6916" max="6916" width="10.140625" style="171" bestFit="1" customWidth="1"/>
    <col min="6917" max="6917" width="11.5703125" style="171" bestFit="1" customWidth="1"/>
    <col min="6918" max="6918" width="14" style="171" bestFit="1" customWidth="1"/>
    <col min="6919" max="6919" width="10.140625" style="171" bestFit="1" customWidth="1"/>
    <col min="6920" max="6920" width="33.28515625" style="171" bestFit="1" customWidth="1"/>
    <col min="6921" max="6928" width="10.42578125" style="171" bestFit="1" customWidth="1"/>
    <col min="6929" max="6930" width="0" style="171" hidden="1" customWidth="1"/>
    <col min="6931" max="6931" width="6.28515625" style="171" bestFit="1" customWidth="1"/>
    <col min="6932" max="6932" width="9.85546875" style="171" bestFit="1" customWidth="1"/>
    <col min="6933" max="7168" width="9.140625" style="171"/>
    <col min="7169" max="7169" width="29.42578125" style="171" customWidth="1"/>
    <col min="7170" max="7170" width="10.85546875" style="171" bestFit="1" customWidth="1"/>
    <col min="7171" max="7171" width="20.7109375" style="171" bestFit="1" customWidth="1"/>
    <col min="7172" max="7172" width="10.140625" style="171" bestFit="1" customWidth="1"/>
    <col min="7173" max="7173" width="11.5703125" style="171" bestFit="1" customWidth="1"/>
    <col min="7174" max="7174" width="14" style="171" bestFit="1" customWidth="1"/>
    <col min="7175" max="7175" width="10.140625" style="171" bestFit="1" customWidth="1"/>
    <col min="7176" max="7176" width="33.28515625" style="171" bestFit="1" customWidth="1"/>
    <col min="7177" max="7184" width="10.42578125" style="171" bestFit="1" customWidth="1"/>
    <col min="7185" max="7186" width="0" style="171" hidden="1" customWidth="1"/>
    <col min="7187" max="7187" width="6.28515625" style="171" bestFit="1" customWidth="1"/>
    <col min="7188" max="7188" width="9.85546875" style="171" bestFit="1" customWidth="1"/>
    <col min="7189" max="7424" width="9.140625" style="171"/>
    <col min="7425" max="7425" width="29.42578125" style="171" customWidth="1"/>
    <col min="7426" max="7426" width="10.85546875" style="171" bestFit="1" customWidth="1"/>
    <col min="7427" max="7427" width="20.7109375" style="171" bestFit="1" customWidth="1"/>
    <col min="7428" max="7428" width="10.140625" style="171" bestFit="1" customWidth="1"/>
    <col min="7429" max="7429" width="11.5703125" style="171" bestFit="1" customWidth="1"/>
    <col min="7430" max="7430" width="14" style="171" bestFit="1" customWidth="1"/>
    <col min="7431" max="7431" width="10.140625" style="171" bestFit="1" customWidth="1"/>
    <col min="7432" max="7432" width="33.28515625" style="171" bestFit="1" customWidth="1"/>
    <col min="7433" max="7440" width="10.42578125" style="171" bestFit="1" customWidth="1"/>
    <col min="7441" max="7442" width="0" style="171" hidden="1" customWidth="1"/>
    <col min="7443" max="7443" width="6.28515625" style="171" bestFit="1" customWidth="1"/>
    <col min="7444" max="7444" width="9.85546875" style="171" bestFit="1" customWidth="1"/>
    <col min="7445" max="7680" width="9.140625" style="171"/>
    <col min="7681" max="7681" width="29.42578125" style="171" customWidth="1"/>
    <col min="7682" max="7682" width="10.85546875" style="171" bestFit="1" customWidth="1"/>
    <col min="7683" max="7683" width="20.7109375" style="171" bestFit="1" customWidth="1"/>
    <col min="7684" max="7684" width="10.140625" style="171" bestFit="1" customWidth="1"/>
    <col min="7685" max="7685" width="11.5703125" style="171" bestFit="1" customWidth="1"/>
    <col min="7686" max="7686" width="14" style="171" bestFit="1" customWidth="1"/>
    <col min="7687" max="7687" width="10.140625" style="171" bestFit="1" customWidth="1"/>
    <col min="7688" max="7688" width="33.28515625" style="171" bestFit="1" customWidth="1"/>
    <col min="7689" max="7696" width="10.42578125" style="171" bestFit="1" customWidth="1"/>
    <col min="7697" max="7698" width="0" style="171" hidden="1" customWidth="1"/>
    <col min="7699" max="7699" width="6.28515625" style="171" bestFit="1" customWidth="1"/>
    <col min="7700" max="7700" width="9.85546875" style="171" bestFit="1" customWidth="1"/>
    <col min="7701" max="7936" width="9.140625" style="171"/>
    <col min="7937" max="7937" width="29.42578125" style="171" customWidth="1"/>
    <col min="7938" max="7938" width="10.85546875" style="171" bestFit="1" customWidth="1"/>
    <col min="7939" max="7939" width="20.7109375" style="171" bestFit="1" customWidth="1"/>
    <col min="7940" max="7940" width="10.140625" style="171" bestFit="1" customWidth="1"/>
    <col min="7941" max="7941" width="11.5703125" style="171" bestFit="1" customWidth="1"/>
    <col min="7942" max="7942" width="14" style="171" bestFit="1" customWidth="1"/>
    <col min="7943" max="7943" width="10.140625" style="171" bestFit="1" customWidth="1"/>
    <col min="7944" max="7944" width="33.28515625" style="171" bestFit="1" customWidth="1"/>
    <col min="7945" max="7952" width="10.42578125" style="171" bestFit="1" customWidth="1"/>
    <col min="7953" max="7954" width="0" style="171" hidden="1" customWidth="1"/>
    <col min="7955" max="7955" width="6.28515625" style="171" bestFit="1" customWidth="1"/>
    <col min="7956" max="7956" width="9.85546875" style="171" bestFit="1" customWidth="1"/>
    <col min="7957" max="8192" width="9.140625" style="171"/>
    <col min="8193" max="8193" width="29.42578125" style="171" customWidth="1"/>
    <col min="8194" max="8194" width="10.85546875" style="171" bestFit="1" customWidth="1"/>
    <col min="8195" max="8195" width="20.7109375" style="171" bestFit="1" customWidth="1"/>
    <col min="8196" max="8196" width="10.140625" style="171" bestFit="1" customWidth="1"/>
    <col min="8197" max="8197" width="11.5703125" style="171" bestFit="1" customWidth="1"/>
    <col min="8198" max="8198" width="14" style="171" bestFit="1" customWidth="1"/>
    <col min="8199" max="8199" width="10.140625" style="171" bestFit="1" customWidth="1"/>
    <col min="8200" max="8200" width="33.28515625" style="171" bestFit="1" customWidth="1"/>
    <col min="8201" max="8208" width="10.42578125" style="171" bestFit="1" customWidth="1"/>
    <col min="8209" max="8210" width="0" style="171" hidden="1" customWidth="1"/>
    <col min="8211" max="8211" width="6.28515625" style="171" bestFit="1" customWidth="1"/>
    <col min="8212" max="8212" width="9.85546875" style="171" bestFit="1" customWidth="1"/>
    <col min="8213" max="8448" width="9.140625" style="171"/>
    <col min="8449" max="8449" width="29.42578125" style="171" customWidth="1"/>
    <col min="8450" max="8450" width="10.85546875" style="171" bestFit="1" customWidth="1"/>
    <col min="8451" max="8451" width="20.7109375" style="171" bestFit="1" customWidth="1"/>
    <col min="8452" max="8452" width="10.140625" style="171" bestFit="1" customWidth="1"/>
    <col min="8453" max="8453" width="11.5703125" style="171" bestFit="1" customWidth="1"/>
    <col min="8454" max="8454" width="14" style="171" bestFit="1" customWidth="1"/>
    <col min="8455" max="8455" width="10.140625" style="171" bestFit="1" customWidth="1"/>
    <col min="8456" max="8456" width="33.28515625" style="171" bestFit="1" customWidth="1"/>
    <col min="8457" max="8464" width="10.42578125" style="171" bestFit="1" customWidth="1"/>
    <col min="8465" max="8466" width="0" style="171" hidden="1" customWidth="1"/>
    <col min="8467" max="8467" width="6.28515625" style="171" bestFit="1" customWidth="1"/>
    <col min="8468" max="8468" width="9.85546875" style="171" bestFit="1" customWidth="1"/>
    <col min="8469" max="8704" width="9.140625" style="171"/>
    <col min="8705" max="8705" width="29.42578125" style="171" customWidth="1"/>
    <col min="8706" max="8706" width="10.85546875" style="171" bestFit="1" customWidth="1"/>
    <col min="8707" max="8707" width="20.7109375" style="171" bestFit="1" customWidth="1"/>
    <col min="8708" max="8708" width="10.140625" style="171" bestFit="1" customWidth="1"/>
    <col min="8709" max="8709" width="11.5703125" style="171" bestFit="1" customWidth="1"/>
    <col min="8710" max="8710" width="14" style="171" bestFit="1" customWidth="1"/>
    <col min="8711" max="8711" width="10.140625" style="171" bestFit="1" customWidth="1"/>
    <col min="8712" max="8712" width="33.28515625" style="171" bestFit="1" customWidth="1"/>
    <col min="8713" max="8720" width="10.42578125" style="171" bestFit="1" customWidth="1"/>
    <col min="8721" max="8722" width="0" style="171" hidden="1" customWidth="1"/>
    <col min="8723" max="8723" width="6.28515625" style="171" bestFit="1" customWidth="1"/>
    <col min="8724" max="8724" width="9.85546875" style="171" bestFit="1" customWidth="1"/>
    <col min="8725" max="8960" width="9.140625" style="171"/>
    <col min="8961" max="8961" width="29.42578125" style="171" customWidth="1"/>
    <col min="8962" max="8962" width="10.85546875" style="171" bestFit="1" customWidth="1"/>
    <col min="8963" max="8963" width="20.7109375" style="171" bestFit="1" customWidth="1"/>
    <col min="8964" max="8964" width="10.140625" style="171" bestFit="1" customWidth="1"/>
    <col min="8965" max="8965" width="11.5703125" style="171" bestFit="1" customWidth="1"/>
    <col min="8966" max="8966" width="14" style="171" bestFit="1" customWidth="1"/>
    <col min="8967" max="8967" width="10.140625" style="171" bestFit="1" customWidth="1"/>
    <col min="8968" max="8968" width="33.28515625" style="171" bestFit="1" customWidth="1"/>
    <col min="8969" max="8976" width="10.42578125" style="171" bestFit="1" customWidth="1"/>
    <col min="8977" max="8978" width="0" style="171" hidden="1" customWidth="1"/>
    <col min="8979" max="8979" width="6.28515625" style="171" bestFit="1" customWidth="1"/>
    <col min="8980" max="8980" width="9.85546875" style="171" bestFit="1" customWidth="1"/>
    <col min="8981" max="9216" width="9.140625" style="171"/>
    <col min="9217" max="9217" width="29.42578125" style="171" customWidth="1"/>
    <col min="9218" max="9218" width="10.85546875" style="171" bestFit="1" customWidth="1"/>
    <col min="9219" max="9219" width="20.7109375" style="171" bestFit="1" customWidth="1"/>
    <col min="9220" max="9220" width="10.140625" style="171" bestFit="1" customWidth="1"/>
    <col min="9221" max="9221" width="11.5703125" style="171" bestFit="1" customWidth="1"/>
    <col min="9222" max="9222" width="14" style="171" bestFit="1" customWidth="1"/>
    <col min="9223" max="9223" width="10.140625" style="171" bestFit="1" customWidth="1"/>
    <col min="9224" max="9224" width="33.28515625" style="171" bestFit="1" customWidth="1"/>
    <col min="9225" max="9232" width="10.42578125" style="171" bestFit="1" customWidth="1"/>
    <col min="9233" max="9234" width="0" style="171" hidden="1" customWidth="1"/>
    <col min="9235" max="9235" width="6.28515625" style="171" bestFit="1" customWidth="1"/>
    <col min="9236" max="9236" width="9.85546875" style="171" bestFit="1" customWidth="1"/>
    <col min="9237" max="9472" width="9.140625" style="171"/>
    <col min="9473" max="9473" width="29.42578125" style="171" customWidth="1"/>
    <col min="9474" max="9474" width="10.85546875" style="171" bestFit="1" customWidth="1"/>
    <col min="9475" max="9475" width="20.7109375" style="171" bestFit="1" customWidth="1"/>
    <col min="9476" max="9476" width="10.140625" style="171" bestFit="1" customWidth="1"/>
    <col min="9477" max="9477" width="11.5703125" style="171" bestFit="1" customWidth="1"/>
    <col min="9478" max="9478" width="14" style="171" bestFit="1" customWidth="1"/>
    <col min="9479" max="9479" width="10.140625" style="171" bestFit="1" customWidth="1"/>
    <col min="9480" max="9480" width="33.28515625" style="171" bestFit="1" customWidth="1"/>
    <col min="9481" max="9488" width="10.42578125" style="171" bestFit="1" customWidth="1"/>
    <col min="9489" max="9490" width="0" style="171" hidden="1" customWidth="1"/>
    <col min="9491" max="9491" width="6.28515625" style="171" bestFit="1" customWidth="1"/>
    <col min="9492" max="9492" width="9.85546875" style="171" bestFit="1" customWidth="1"/>
    <col min="9493" max="9728" width="9.140625" style="171"/>
    <col min="9729" max="9729" width="29.42578125" style="171" customWidth="1"/>
    <col min="9730" max="9730" width="10.85546875" style="171" bestFit="1" customWidth="1"/>
    <col min="9731" max="9731" width="20.7109375" style="171" bestFit="1" customWidth="1"/>
    <col min="9732" max="9732" width="10.140625" style="171" bestFit="1" customWidth="1"/>
    <col min="9733" max="9733" width="11.5703125" style="171" bestFit="1" customWidth="1"/>
    <col min="9734" max="9734" width="14" style="171" bestFit="1" customWidth="1"/>
    <col min="9735" max="9735" width="10.140625" style="171" bestFit="1" customWidth="1"/>
    <col min="9736" max="9736" width="33.28515625" style="171" bestFit="1" customWidth="1"/>
    <col min="9737" max="9744" width="10.42578125" style="171" bestFit="1" customWidth="1"/>
    <col min="9745" max="9746" width="0" style="171" hidden="1" customWidth="1"/>
    <col min="9747" max="9747" width="6.28515625" style="171" bestFit="1" customWidth="1"/>
    <col min="9748" max="9748" width="9.85546875" style="171" bestFit="1" customWidth="1"/>
    <col min="9749" max="9984" width="9.140625" style="171"/>
    <col min="9985" max="9985" width="29.42578125" style="171" customWidth="1"/>
    <col min="9986" max="9986" width="10.85546875" style="171" bestFit="1" customWidth="1"/>
    <col min="9987" max="9987" width="20.7109375" style="171" bestFit="1" customWidth="1"/>
    <col min="9988" max="9988" width="10.140625" style="171" bestFit="1" customWidth="1"/>
    <col min="9989" max="9989" width="11.5703125" style="171" bestFit="1" customWidth="1"/>
    <col min="9990" max="9990" width="14" style="171" bestFit="1" customWidth="1"/>
    <col min="9991" max="9991" width="10.140625" style="171" bestFit="1" customWidth="1"/>
    <col min="9992" max="9992" width="33.28515625" style="171" bestFit="1" customWidth="1"/>
    <col min="9993" max="10000" width="10.42578125" style="171" bestFit="1" customWidth="1"/>
    <col min="10001" max="10002" width="0" style="171" hidden="1" customWidth="1"/>
    <col min="10003" max="10003" width="6.28515625" style="171" bestFit="1" customWidth="1"/>
    <col min="10004" max="10004" width="9.85546875" style="171" bestFit="1" customWidth="1"/>
    <col min="10005" max="10240" width="9.140625" style="171"/>
    <col min="10241" max="10241" width="29.42578125" style="171" customWidth="1"/>
    <col min="10242" max="10242" width="10.85546875" style="171" bestFit="1" customWidth="1"/>
    <col min="10243" max="10243" width="20.7109375" style="171" bestFit="1" customWidth="1"/>
    <col min="10244" max="10244" width="10.140625" style="171" bestFit="1" customWidth="1"/>
    <col min="10245" max="10245" width="11.5703125" style="171" bestFit="1" customWidth="1"/>
    <col min="10246" max="10246" width="14" style="171" bestFit="1" customWidth="1"/>
    <col min="10247" max="10247" width="10.140625" style="171" bestFit="1" customWidth="1"/>
    <col min="10248" max="10248" width="33.28515625" style="171" bestFit="1" customWidth="1"/>
    <col min="10249" max="10256" width="10.42578125" style="171" bestFit="1" customWidth="1"/>
    <col min="10257" max="10258" width="0" style="171" hidden="1" customWidth="1"/>
    <col min="10259" max="10259" width="6.28515625" style="171" bestFit="1" customWidth="1"/>
    <col min="10260" max="10260" width="9.85546875" style="171" bestFit="1" customWidth="1"/>
    <col min="10261" max="10496" width="9.140625" style="171"/>
    <col min="10497" max="10497" width="29.42578125" style="171" customWidth="1"/>
    <col min="10498" max="10498" width="10.85546875" style="171" bestFit="1" customWidth="1"/>
    <col min="10499" max="10499" width="20.7109375" style="171" bestFit="1" customWidth="1"/>
    <col min="10500" max="10500" width="10.140625" style="171" bestFit="1" customWidth="1"/>
    <col min="10501" max="10501" width="11.5703125" style="171" bestFit="1" customWidth="1"/>
    <col min="10502" max="10502" width="14" style="171" bestFit="1" customWidth="1"/>
    <col min="10503" max="10503" width="10.140625" style="171" bestFit="1" customWidth="1"/>
    <col min="10504" max="10504" width="33.28515625" style="171" bestFit="1" customWidth="1"/>
    <col min="10505" max="10512" width="10.42578125" style="171" bestFit="1" customWidth="1"/>
    <col min="10513" max="10514" width="0" style="171" hidden="1" customWidth="1"/>
    <col min="10515" max="10515" width="6.28515625" style="171" bestFit="1" customWidth="1"/>
    <col min="10516" max="10516" width="9.85546875" style="171" bestFit="1" customWidth="1"/>
    <col min="10517" max="10752" width="9.140625" style="171"/>
    <col min="10753" max="10753" width="29.42578125" style="171" customWidth="1"/>
    <col min="10754" max="10754" width="10.85546875" style="171" bestFit="1" customWidth="1"/>
    <col min="10755" max="10755" width="20.7109375" style="171" bestFit="1" customWidth="1"/>
    <col min="10756" max="10756" width="10.140625" style="171" bestFit="1" customWidth="1"/>
    <col min="10757" max="10757" width="11.5703125" style="171" bestFit="1" customWidth="1"/>
    <col min="10758" max="10758" width="14" style="171" bestFit="1" customWidth="1"/>
    <col min="10759" max="10759" width="10.140625" style="171" bestFit="1" customWidth="1"/>
    <col min="10760" max="10760" width="33.28515625" style="171" bestFit="1" customWidth="1"/>
    <col min="10761" max="10768" width="10.42578125" style="171" bestFit="1" customWidth="1"/>
    <col min="10769" max="10770" width="0" style="171" hidden="1" customWidth="1"/>
    <col min="10771" max="10771" width="6.28515625" style="171" bestFit="1" customWidth="1"/>
    <col min="10772" max="10772" width="9.85546875" style="171" bestFit="1" customWidth="1"/>
    <col min="10773" max="11008" width="9.140625" style="171"/>
    <col min="11009" max="11009" width="29.42578125" style="171" customWidth="1"/>
    <col min="11010" max="11010" width="10.85546875" style="171" bestFit="1" customWidth="1"/>
    <col min="11011" max="11011" width="20.7109375" style="171" bestFit="1" customWidth="1"/>
    <col min="11012" max="11012" width="10.140625" style="171" bestFit="1" customWidth="1"/>
    <col min="11013" max="11013" width="11.5703125" style="171" bestFit="1" customWidth="1"/>
    <col min="11014" max="11014" width="14" style="171" bestFit="1" customWidth="1"/>
    <col min="11015" max="11015" width="10.140625" style="171" bestFit="1" customWidth="1"/>
    <col min="11016" max="11016" width="33.28515625" style="171" bestFit="1" customWidth="1"/>
    <col min="11017" max="11024" width="10.42578125" style="171" bestFit="1" customWidth="1"/>
    <col min="11025" max="11026" width="0" style="171" hidden="1" customWidth="1"/>
    <col min="11027" max="11027" width="6.28515625" style="171" bestFit="1" customWidth="1"/>
    <col min="11028" max="11028" width="9.85546875" style="171" bestFit="1" customWidth="1"/>
    <col min="11029" max="11264" width="9.140625" style="171"/>
    <col min="11265" max="11265" width="29.42578125" style="171" customWidth="1"/>
    <col min="11266" max="11266" width="10.85546875" style="171" bestFit="1" customWidth="1"/>
    <col min="11267" max="11267" width="20.7109375" style="171" bestFit="1" customWidth="1"/>
    <col min="11268" max="11268" width="10.140625" style="171" bestFit="1" customWidth="1"/>
    <col min="11269" max="11269" width="11.5703125" style="171" bestFit="1" customWidth="1"/>
    <col min="11270" max="11270" width="14" style="171" bestFit="1" customWidth="1"/>
    <col min="11271" max="11271" width="10.140625" style="171" bestFit="1" customWidth="1"/>
    <col min="11272" max="11272" width="33.28515625" style="171" bestFit="1" customWidth="1"/>
    <col min="11273" max="11280" width="10.42578125" style="171" bestFit="1" customWidth="1"/>
    <col min="11281" max="11282" width="0" style="171" hidden="1" customWidth="1"/>
    <col min="11283" max="11283" width="6.28515625" style="171" bestFit="1" customWidth="1"/>
    <col min="11284" max="11284" width="9.85546875" style="171" bestFit="1" customWidth="1"/>
    <col min="11285" max="11520" width="9.140625" style="171"/>
    <col min="11521" max="11521" width="29.42578125" style="171" customWidth="1"/>
    <col min="11522" max="11522" width="10.85546875" style="171" bestFit="1" customWidth="1"/>
    <col min="11523" max="11523" width="20.7109375" style="171" bestFit="1" customWidth="1"/>
    <col min="11524" max="11524" width="10.140625" style="171" bestFit="1" customWidth="1"/>
    <col min="11525" max="11525" width="11.5703125" style="171" bestFit="1" customWidth="1"/>
    <col min="11526" max="11526" width="14" style="171" bestFit="1" customWidth="1"/>
    <col min="11527" max="11527" width="10.140625" style="171" bestFit="1" customWidth="1"/>
    <col min="11528" max="11528" width="33.28515625" style="171" bestFit="1" customWidth="1"/>
    <col min="11529" max="11536" width="10.42578125" style="171" bestFit="1" customWidth="1"/>
    <col min="11537" max="11538" width="0" style="171" hidden="1" customWidth="1"/>
    <col min="11539" max="11539" width="6.28515625" style="171" bestFit="1" customWidth="1"/>
    <col min="11540" max="11540" width="9.85546875" style="171" bestFit="1" customWidth="1"/>
    <col min="11541" max="11776" width="9.140625" style="171"/>
    <col min="11777" max="11777" width="29.42578125" style="171" customWidth="1"/>
    <col min="11778" max="11778" width="10.85546875" style="171" bestFit="1" customWidth="1"/>
    <col min="11779" max="11779" width="20.7109375" style="171" bestFit="1" customWidth="1"/>
    <col min="11780" max="11780" width="10.140625" style="171" bestFit="1" customWidth="1"/>
    <col min="11781" max="11781" width="11.5703125" style="171" bestFit="1" customWidth="1"/>
    <col min="11782" max="11782" width="14" style="171" bestFit="1" customWidth="1"/>
    <col min="11783" max="11783" width="10.140625" style="171" bestFit="1" customWidth="1"/>
    <col min="11784" max="11784" width="33.28515625" style="171" bestFit="1" customWidth="1"/>
    <col min="11785" max="11792" width="10.42578125" style="171" bestFit="1" customWidth="1"/>
    <col min="11793" max="11794" width="0" style="171" hidden="1" customWidth="1"/>
    <col min="11795" max="11795" width="6.28515625" style="171" bestFit="1" customWidth="1"/>
    <col min="11796" max="11796" width="9.85546875" style="171" bestFit="1" customWidth="1"/>
    <col min="11797" max="12032" width="9.140625" style="171"/>
    <col min="12033" max="12033" width="29.42578125" style="171" customWidth="1"/>
    <col min="12034" max="12034" width="10.85546875" style="171" bestFit="1" customWidth="1"/>
    <col min="12035" max="12035" width="20.7109375" style="171" bestFit="1" customWidth="1"/>
    <col min="12036" max="12036" width="10.140625" style="171" bestFit="1" customWidth="1"/>
    <col min="12037" max="12037" width="11.5703125" style="171" bestFit="1" customWidth="1"/>
    <col min="12038" max="12038" width="14" style="171" bestFit="1" customWidth="1"/>
    <col min="12039" max="12039" width="10.140625" style="171" bestFit="1" customWidth="1"/>
    <col min="12040" max="12040" width="33.28515625" style="171" bestFit="1" customWidth="1"/>
    <col min="12041" max="12048" width="10.42578125" style="171" bestFit="1" customWidth="1"/>
    <col min="12049" max="12050" width="0" style="171" hidden="1" customWidth="1"/>
    <col min="12051" max="12051" width="6.28515625" style="171" bestFit="1" customWidth="1"/>
    <col min="12052" max="12052" width="9.85546875" style="171" bestFit="1" customWidth="1"/>
    <col min="12053" max="12288" width="9.140625" style="171"/>
    <col min="12289" max="12289" width="29.42578125" style="171" customWidth="1"/>
    <col min="12290" max="12290" width="10.85546875" style="171" bestFit="1" customWidth="1"/>
    <col min="12291" max="12291" width="20.7109375" style="171" bestFit="1" customWidth="1"/>
    <col min="12292" max="12292" width="10.140625" style="171" bestFit="1" customWidth="1"/>
    <col min="12293" max="12293" width="11.5703125" style="171" bestFit="1" customWidth="1"/>
    <col min="12294" max="12294" width="14" style="171" bestFit="1" customWidth="1"/>
    <col min="12295" max="12295" width="10.140625" style="171" bestFit="1" customWidth="1"/>
    <col min="12296" max="12296" width="33.28515625" style="171" bestFit="1" customWidth="1"/>
    <col min="12297" max="12304" width="10.42578125" style="171" bestFit="1" customWidth="1"/>
    <col min="12305" max="12306" width="0" style="171" hidden="1" customWidth="1"/>
    <col min="12307" max="12307" width="6.28515625" style="171" bestFit="1" customWidth="1"/>
    <col min="12308" max="12308" width="9.85546875" style="171" bestFit="1" customWidth="1"/>
    <col min="12309" max="12544" width="9.140625" style="171"/>
    <col min="12545" max="12545" width="29.42578125" style="171" customWidth="1"/>
    <col min="12546" max="12546" width="10.85546875" style="171" bestFit="1" customWidth="1"/>
    <col min="12547" max="12547" width="20.7109375" style="171" bestFit="1" customWidth="1"/>
    <col min="12548" max="12548" width="10.140625" style="171" bestFit="1" customWidth="1"/>
    <col min="12549" max="12549" width="11.5703125" style="171" bestFit="1" customWidth="1"/>
    <col min="12550" max="12550" width="14" style="171" bestFit="1" customWidth="1"/>
    <col min="12551" max="12551" width="10.140625" style="171" bestFit="1" customWidth="1"/>
    <col min="12552" max="12552" width="33.28515625" style="171" bestFit="1" customWidth="1"/>
    <col min="12553" max="12560" width="10.42578125" style="171" bestFit="1" customWidth="1"/>
    <col min="12561" max="12562" width="0" style="171" hidden="1" customWidth="1"/>
    <col min="12563" max="12563" width="6.28515625" style="171" bestFit="1" customWidth="1"/>
    <col min="12564" max="12564" width="9.85546875" style="171" bestFit="1" customWidth="1"/>
    <col min="12565" max="12800" width="9.140625" style="171"/>
    <col min="12801" max="12801" width="29.42578125" style="171" customWidth="1"/>
    <col min="12802" max="12802" width="10.85546875" style="171" bestFit="1" customWidth="1"/>
    <col min="12803" max="12803" width="20.7109375" style="171" bestFit="1" customWidth="1"/>
    <col min="12804" max="12804" width="10.140625" style="171" bestFit="1" customWidth="1"/>
    <col min="12805" max="12805" width="11.5703125" style="171" bestFit="1" customWidth="1"/>
    <col min="12806" max="12806" width="14" style="171" bestFit="1" customWidth="1"/>
    <col min="12807" max="12807" width="10.140625" style="171" bestFit="1" customWidth="1"/>
    <col min="12808" max="12808" width="33.28515625" style="171" bestFit="1" customWidth="1"/>
    <col min="12809" max="12816" width="10.42578125" style="171" bestFit="1" customWidth="1"/>
    <col min="12817" max="12818" width="0" style="171" hidden="1" customWidth="1"/>
    <col min="12819" max="12819" width="6.28515625" style="171" bestFit="1" customWidth="1"/>
    <col min="12820" max="12820" width="9.85546875" style="171" bestFit="1" customWidth="1"/>
    <col min="12821" max="13056" width="9.140625" style="171"/>
    <col min="13057" max="13057" width="29.42578125" style="171" customWidth="1"/>
    <col min="13058" max="13058" width="10.85546875" style="171" bestFit="1" customWidth="1"/>
    <col min="13059" max="13059" width="20.7109375" style="171" bestFit="1" customWidth="1"/>
    <col min="13060" max="13060" width="10.140625" style="171" bestFit="1" customWidth="1"/>
    <col min="13061" max="13061" width="11.5703125" style="171" bestFit="1" customWidth="1"/>
    <col min="13062" max="13062" width="14" style="171" bestFit="1" customWidth="1"/>
    <col min="13063" max="13063" width="10.140625" style="171" bestFit="1" customWidth="1"/>
    <col min="13064" max="13064" width="33.28515625" style="171" bestFit="1" customWidth="1"/>
    <col min="13065" max="13072" width="10.42578125" style="171" bestFit="1" customWidth="1"/>
    <col min="13073" max="13074" width="0" style="171" hidden="1" customWidth="1"/>
    <col min="13075" max="13075" width="6.28515625" style="171" bestFit="1" customWidth="1"/>
    <col min="13076" max="13076" width="9.85546875" style="171" bestFit="1" customWidth="1"/>
    <col min="13077" max="13312" width="9.140625" style="171"/>
    <col min="13313" max="13313" width="29.42578125" style="171" customWidth="1"/>
    <col min="13314" max="13314" width="10.85546875" style="171" bestFit="1" customWidth="1"/>
    <col min="13315" max="13315" width="20.7109375" style="171" bestFit="1" customWidth="1"/>
    <col min="13316" max="13316" width="10.140625" style="171" bestFit="1" customWidth="1"/>
    <col min="13317" max="13317" width="11.5703125" style="171" bestFit="1" customWidth="1"/>
    <col min="13318" max="13318" width="14" style="171" bestFit="1" customWidth="1"/>
    <col min="13319" max="13319" width="10.140625" style="171" bestFit="1" customWidth="1"/>
    <col min="13320" max="13320" width="33.28515625" style="171" bestFit="1" customWidth="1"/>
    <col min="13321" max="13328" width="10.42578125" style="171" bestFit="1" customWidth="1"/>
    <col min="13329" max="13330" width="0" style="171" hidden="1" customWidth="1"/>
    <col min="13331" max="13331" width="6.28515625" style="171" bestFit="1" customWidth="1"/>
    <col min="13332" max="13332" width="9.85546875" style="171" bestFit="1" customWidth="1"/>
    <col min="13333" max="13568" width="9.140625" style="171"/>
    <col min="13569" max="13569" width="29.42578125" style="171" customWidth="1"/>
    <col min="13570" max="13570" width="10.85546875" style="171" bestFit="1" customWidth="1"/>
    <col min="13571" max="13571" width="20.7109375" style="171" bestFit="1" customWidth="1"/>
    <col min="13572" max="13572" width="10.140625" style="171" bestFit="1" customWidth="1"/>
    <col min="13573" max="13573" width="11.5703125" style="171" bestFit="1" customWidth="1"/>
    <col min="13574" max="13574" width="14" style="171" bestFit="1" customWidth="1"/>
    <col min="13575" max="13575" width="10.140625" style="171" bestFit="1" customWidth="1"/>
    <col min="13576" max="13576" width="33.28515625" style="171" bestFit="1" customWidth="1"/>
    <col min="13577" max="13584" width="10.42578125" style="171" bestFit="1" customWidth="1"/>
    <col min="13585" max="13586" width="0" style="171" hidden="1" customWidth="1"/>
    <col min="13587" max="13587" width="6.28515625" style="171" bestFit="1" customWidth="1"/>
    <col min="13588" max="13588" width="9.85546875" style="171" bestFit="1" customWidth="1"/>
    <col min="13589" max="13824" width="9.140625" style="171"/>
    <col min="13825" max="13825" width="29.42578125" style="171" customWidth="1"/>
    <col min="13826" max="13826" width="10.85546875" style="171" bestFit="1" customWidth="1"/>
    <col min="13827" max="13827" width="20.7109375" style="171" bestFit="1" customWidth="1"/>
    <col min="13828" max="13828" width="10.140625" style="171" bestFit="1" customWidth="1"/>
    <col min="13829" max="13829" width="11.5703125" style="171" bestFit="1" customWidth="1"/>
    <col min="13830" max="13830" width="14" style="171" bestFit="1" customWidth="1"/>
    <col min="13831" max="13831" width="10.140625" style="171" bestFit="1" customWidth="1"/>
    <col min="13832" max="13832" width="33.28515625" style="171" bestFit="1" customWidth="1"/>
    <col min="13833" max="13840" width="10.42578125" style="171" bestFit="1" customWidth="1"/>
    <col min="13841" max="13842" width="0" style="171" hidden="1" customWidth="1"/>
    <col min="13843" max="13843" width="6.28515625" style="171" bestFit="1" customWidth="1"/>
    <col min="13844" max="13844" width="9.85546875" style="171" bestFit="1" customWidth="1"/>
    <col min="13845" max="14080" width="9.140625" style="171"/>
    <col min="14081" max="14081" width="29.42578125" style="171" customWidth="1"/>
    <col min="14082" max="14082" width="10.85546875" style="171" bestFit="1" customWidth="1"/>
    <col min="14083" max="14083" width="20.7109375" style="171" bestFit="1" customWidth="1"/>
    <col min="14084" max="14084" width="10.140625" style="171" bestFit="1" customWidth="1"/>
    <col min="14085" max="14085" width="11.5703125" style="171" bestFit="1" customWidth="1"/>
    <col min="14086" max="14086" width="14" style="171" bestFit="1" customWidth="1"/>
    <col min="14087" max="14087" width="10.140625" style="171" bestFit="1" customWidth="1"/>
    <col min="14088" max="14088" width="33.28515625" style="171" bestFit="1" customWidth="1"/>
    <col min="14089" max="14096" width="10.42578125" style="171" bestFit="1" customWidth="1"/>
    <col min="14097" max="14098" width="0" style="171" hidden="1" customWidth="1"/>
    <col min="14099" max="14099" width="6.28515625" style="171" bestFit="1" customWidth="1"/>
    <col min="14100" max="14100" width="9.85546875" style="171" bestFit="1" customWidth="1"/>
    <col min="14101" max="14336" width="9.140625" style="171"/>
    <col min="14337" max="14337" width="29.42578125" style="171" customWidth="1"/>
    <col min="14338" max="14338" width="10.85546875" style="171" bestFit="1" customWidth="1"/>
    <col min="14339" max="14339" width="20.7109375" style="171" bestFit="1" customWidth="1"/>
    <col min="14340" max="14340" width="10.140625" style="171" bestFit="1" customWidth="1"/>
    <col min="14341" max="14341" width="11.5703125" style="171" bestFit="1" customWidth="1"/>
    <col min="14342" max="14342" width="14" style="171" bestFit="1" customWidth="1"/>
    <col min="14343" max="14343" width="10.140625" style="171" bestFit="1" customWidth="1"/>
    <col min="14344" max="14344" width="33.28515625" style="171" bestFit="1" customWidth="1"/>
    <col min="14345" max="14352" width="10.42578125" style="171" bestFit="1" customWidth="1"/>
    <col min="14353" max="14354" width="0" style="171" hidden="1" customWidth="1"/>
    <col min="14355" max="14355" width="6.28515625" style="171" bestFit="1" customWidth="1"/>
    <col min="14356" max="14356" width="9.85546875" style="171" bestFit="1" customWidth="1"/>
    <col min="14357" max="14592" width="9.140625" style="171"/>
    <col min="14593" max="14593" width="29.42578125" style="171" customWidth="1"/>
    <col min="14594" max="14594" width="10.85546875" style="171" bestFit="1" customWidth="1"/>
    <col min="14595" max="14595" width="20.7109375" style="171" bestFit="1" customWidth="1"/>
    <col min="14596" max="14596" width="10.140625" style="171" bestFit="1" customWidth="1"/>
    <col min="14597" max="14597" width="11.5703125" style="171" bestFit="1" customWidth="1"/>
    <col min="14598" max="14598" width="14" style="171" bestFit="1" customWidth="1"/>
    <col min="14599" max="14599" width="10.140625" style="171" bestFit="1" customWidth="1"/>
    <col min="14600" max="14600" width="33.28515625" style="171" bestFit="1" customWidth="1"/>
    <col min="14601" max="14608" width="10.42578125" style="171" bestFit="1" customWidth="1"/>
    <col min="14609" max="14610" width="0" style="171" hidden="1" customWidth="1"/>
    <col min="14611" max="14611" width="6.28515625" style="171" bestFit="1" customWidth="1"/>
    <col min="14612" max="14612" width="9.85546875" style="171" bestFit="1" customWidth="1"/>
    <col min="14613" max="14848" width="9.140625" style="171"/>
    <col min="14849" max="14849" width="29.42578125" style="171" customWidth="1"/>
    <col min="14850" max="14850" width="10.85546875" style="171" bestFit="1" customWidth="1"/>
    <col min="14851" max="14851" width="20.7109375" style="171" bestFit="1" customWidth="1"/>
    <col min="14852" max="14852" width="10.140625" style="171" bestFit="1" customWidth="1"/>
    <col min="14853" max="14853" width="11.5703125" style="171" bestFit="1" customWidth="1"/>
    <col min="14854" max="14854" width="14" style="171" bestFit="1" customWidth="1"/>
    <col min="14855" max="14855" width="10.140625" style="171" bestFit="1" customWidth="1"/>
    <col min="14856" max="14856" width="33.28515625" style="171" bestFit="1" customWidth="1"/>
    <col min="14857" max="14864" width="10.42578125" style="171" bestFit="1" customWidth="1"/>
    <col min="14865" max="14866" width="0" style="171" hidden="1" customWidth="1"/>
    <col min="14867" max="14867" width="6.28515625" style="171" bestFit="1" customWidth="1"/>
    <col min="14868" max="14868" width="9.85546875" style="171" bestFit="1" customWidth="1"/>
    <col min="14869" max="15104" width="9.140625" style="171"/>
    <col min="15105" max="15105" width="29.42578125" style="171" customWidth="1"/>
    <col min="15106" max="15106" width="10.85546875" style="171" bestFit="1" customWidth="1"/>
    <col min="15107" max="15107" width="20.7109375" style="171" bestFit="1" customWidth="1"/>
    <col min="15108" max="15108" width="10.140625" style="171" bestFit="1" customWidth="1"/>
    <col min="15109" max="15109" width="11.5703125" style="171" bestFit="1" customWidth="1"/>
    <col min="15110" max="15110" width="14" style="171" bestFit="1" customWidth="1"/>
    <col min="15111" max="15111" width="10.140625" style="171" bestFit="1" customWidth="1"/>
    <col min="15112" max="15112" width="33.28515625" style="171" bestFit="1" customWidth="1"/>
    <col min="15113" max="15120" width="10.42578125" style="171" bestFit="1" customWidth="1"/>
    <col min="15121" max="15122" width="0" style="171" hidden="1" customWidth="1"/>
    <col min="15123" max="15123" width="6.28515625" style="171" bestFit="1" customWidth="1"/>
    <col min="15124" max="15124" width="9.85546875" style="171" bestFit="1" customWidth="1"/>
    <col min="15125" max="15360" width="9.140625" style="171"/>
    <col min="15361" max="15361" width="29.42578125" style="171" customWidth="1"/>
    <col min="15362" max="15362" width="10.85546875" style="171" bestFit="1" customWidth="1"/>
    <col min="15363" max="15363" width="20.7109375" style="171" bestFit="1" customWidth="1"/>
    <col min="15364" max="15364" width="10.140625" style="171" bestFit="1" customWidth="1"/>
    <col min="15365" max="15365" width="11.5703125" style="171" bestFit="1" customWidth="1"/>
    <col min="15366" max="15366" width="14" style="171" bestFit="1" customWidth="1"/>
    <col min="15367" max="15367" width="10.140625" style="171" bestFit="1" customWidth="1"/>
    <col min="15368" max="15368" width="33.28515625" style="171" bestFit="1" customWidth="1"/>
    <col min="15369" max="15376" width="10.42578125" style="171" bestFit="1" customWidth="1"/>
    <col min="15377" max="15378" width="0" style="171" hidden="1" customWidth="1"/>
    <col min="15379" max="15379" width="6.28515625" style="171" bestFit="1" customWidth="1"/>
    <col min="15380" max="15380" width="9.85546875" style="171" bestFit="1" customWidth="1"/>
    <col min="15381" max="15616" width="9.140625" style="171"/>
    <col min="15617" max="15617" width="29.42578125" style="171" customWidth="1"/>
    <col min="15618" max="15618" width="10.85546875" style="171" bestFit="1" customWidth="1"/>
    <col min="15619" max="15619" width="20.7109375" style="171" bestFit="1" customWidth="1"/>
    <col min="15620" max="15620" width="10.140625" style="171" bestFit="1" customWidth="1"/>
    <col min="15621" max="15621" width="11.5703125" style="171" bestFit="1" customWidth="1"/>
    <col min="15622" max="15622" width="14" style="171" bestFit="1" customWidth="1"/>
    <col min="15623" max="15623" width="10.140625" style="171" bestFit="1" customWidth="1"/>
    <col min="15624" max="15624" width="33.28515625" style="171" bestFit="1" customWidth="1"/>
    <col min="15625" max="15632" width="10.42578125" style="171" bestFit="1" customWidth="1"/>
    <col min="15633" max="15634" width="0" style="171" hidden="1" customWidth="1"/>
    <col min="15635" max="15635" width="6.28515625" style="171" bestFit="1" customWidth="1"/>
    <col min="15636" max="15636" width="9.85546875" style="171" bestFit="1" customWidth="1"/>
    <col min="15637" max="15872" width="9.140625" style="171"/>
    <col min="15873" max="15873" width="29.42578125" style="171" customWidth="1"/>
    <col min="15874" max="15874" width="10.85546875" style="171" bestFit="1" customWidth="1"/>
    <col min="15875" max="15875" width="20.7109375" style="171" bestFit="1" customWidth="1"/>
    <col min="15876" max="15876" width="10.140625" style="171" bestFit="1" customWidth="1"/>
    <col min="15877" max="15877" width="11.5703125" style="171" bestFit="1" customWidth="1"/>
    <col min="15878" max="15878" width="14" style="171" bestFit="1" customWidth="1"/>
    <col min="15879" max="15879" width="10.140625" style="171" bestFit="1" customWidth="1"/>
    <col min="15880" max="15880" width="33.28515625" style="171" bestFit="1" customWidth="1"/>
    <col min="15881" max="15888" width="10.42578125" style="171" bestFit="1" customWidth="1"/>
    <col min="15889" max="15890" width="0" style="171" hidden="1" customWidth="1"/>
    <col min="15891" max="15891" width="6.28515625" style="171" bestFit="1" customWidth="1"/>
    <col min="15892" max="15892" width="9.85546875" style="171" bestFit="1" customWidth="1"/>
    <col min="15893" max="16128" width="9.140625" style="171"/>
    <col min="16129" max="16129" width="29.42578125" style="171" customWidth="1"/>
    <col min="16130" max="16130" width="10.85546875" style="171" bestFit="1" customWidth="1"/>
    <col min="16131" max="16131" width="20.7109375" style="171" bestFit="1" customWidth="1"/>
    <col min="16132" max="16132" width="10.140625" style="171" bestFit="1" customWidth="1"/>
    <col min="16133" max="16133" width="11.5703125" style="171" bestFit="1" customWidth="1"/>
    <col min="16134" max="16134" width="14" style="171" bestFit="1" customWidth="1"/>
    <col min="16135" max="16135" width="10.140625" style="171" bestFit="1" customWidth="1"/>
    <col min="16136" max="16136" width="33.28515625" style="171" bestFit="1" customWidth="1"/>
    <col min="16137" max="16144" width="10.42578125" style="171" bestFit="1" customWidth="1"/>
    <col min="16145" max="16146" width="0" style="171" hidden="1" customWidth="1"/>
    <col min="16147" max="16147" width="6.28515625" style="171" bestFit="1" customWidth="1"/>
    <col min="16148" max="16148" width="9.85546875" style="171" bestFit="1" customWidth="1"/>
    <col min="16149" max="16384" width="9.140625" style="171"/>
  </cols>
  <sheetData>
    <row r="5" spans="1:255" ht="15.75">
      <c r="A5" s="170" t="s">
        <v>289</v>
      </c>
    </row>
    <row r="7" spans="1:255" ht="22.5">
      <c r="A7" s="173" t="s">
        <v>290</v>
      </c>
      <c r="B7" s="174" t="s">
        <v>291</v>
      </c>
      <c r="C7" s="171" t="s">
        <v>292</v>
      </c>
      <c r="D7" s="175" t="s">
        <v>293</v>
      </c>
      <c r="E7" s="176" t="s">
        <v>294</v>
      </c>
      <c r="F7" s="171" t="s">
        <v>295</v>
      </c>
    </row>
    <row r="8" spans="1:255">
      <c r="A8" s="175"/>
      <c r="B8" s="174" t="s">
        <v>296</v>
      </c>
      <c r="C8" s="171" t="s">
        <v>297</v>
      </c>
      <c r="D8" s="175" t="s">
        <v>293</v>
      </c>
      <c r="E8" s="176" t="s">
        <v>298</v>
      </c>
      <c r="F8" s="171" t="s">
        <v>299</v>
      </c>
    </row>
    <row r="9" spans="1:255">
      <c r="A9" s="175"/>
      <c r="B9" s="174" t="s">
        <v>300</v>
      </c>
      <c r="C9" s="171" t="s">
        <v>301</v>
      </c>
      <c r="D9" s="175" t="s">
        <v>293</v>
      </c>
      <c r="E9" s="176" t="s">
        <v>302</v>
      </c>
      <c r="F9" s="171" t="s">
        <v>303</v>
      </c>
    </row>
    <row r="10" spans="1:255">
      <c r="A10" s="175"/>
      <c r="B10" s="174" t="s">
        <v>304</v>
      </c>
      <c r="C10" s="171" t="s">
        <v>305</v>
      </c>
      <c r="D10" s="175" t="s">
        <v>293</v>
      </c>
      <c r="E10" s="176" t="s">
        <v>306</v>
      </c>
      <c r="F10" s="177" t="s">
        <v>307</v>
      </c>
    </row>
    <row r="11" spans="1:255">
      <c r="A11" s="175"/>
      <c r="B11" s="174" t="s">
        <v>308</v>
      </c>
      <c r="C11" s="171" t="s">
        <v>309</v>
      </c>
      <c r="D11" s="175" t="s">
        <v>293</v>
      </c>
      <c r="E11" s="178"/>
      <c r="F11" s="179"/>
    </row>
    <row r="13" spans="1:255">
      <c r="I13" s="171">
        <v>1</v>
      </c>
      <c r="J13" s="171">
        <v>2</v>
      </c>
      <c r="K13" s="171">
        <v>3</v>
      </c>
      <c r="L13" s="171">
        <v>4</v>
      </c>
      <c r="M13" s="171">
        <v>5</v>
      </c>
      <c r="N13" s="171">
        <v>6</v>
      </c>
      <c r="O13" s="171">
        <v>7</v>
      </c>
      <c r="P13" s="171">
        <v>8</v>
      </c>
      <c r="Q13" s="171">
        <v>9</v>
      </c>
      <c r="R13" s="171">
        <v>10</v>
      </c>
    </row>
    <row r="14" spans="1:255">
      <c r="A14" s="180" t="s">
        <v>310</v>
      </c>
      <c r="B14" s="180"/>
      <c r="C14" s="180"/>
      <c r="D14" s="180"/>
      <c r="E14" s="181"/>
      <c r="F14" s="180"/>
      <c r="G14" s="180"/>
      <c r="H14" s="182"/>
      <c r="I14" s="182">
        <v>11</v>
      </c>
      <c r="J14" s="182">
        <v>2</v>
      </c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182"/>
      <c r="BN14" s="182"/>
      <c r="BO14" s="182"/>
      <c r="BP14" s="182"/>
      <c r="BQ14" s="182"/>
      <c r="BR14" s="182"/>
      <c r="BS14" s="182"/>
      <c r="BT14" s="182"/>
      <c r="BU14" s="182"/>
      <c r="BV14" s="182"/>
      <c r="BW14" s="182"/>
      <c r="BX14" s="182"/>
      <c r="BY14" s="182"/>
      <c r="BZ14" s="182"/>
      <c r="CA14" s="182"/>
      <c r="CB14" s="182"/>
      <c r="CC14" s="182"/>
      <c r="CD14" s="182"/>
      <c r="CE14" s="182"/>
      <c r="CF14" s="182"/>
      <c r="CG14" s="182"/>
      <c r="CH14" s="182"/>
      <c r="CI14" s="182"/>
      <c r="CJ14" s="182"/>
      <c r="CK14" s="182"/>
      <c r="CL14" s="182"/>
      <c r="CM14" s="182"/>
      <c r="CN14" s="182"/>
      <c r="CO14" s="182"/>
      <c r="CP14" s="182"/>
      <c r="CQ14" s="182"/>
      <c r="CR14" s="182"/>
      <c r="CS14" s="182"/>
      <c r="CT14" s="182"/>
      <c r="CU14" s="182"/>
      <c r="CV14" s="182"/>
      <c r="CW14" s="182"/>
      <c r="CX14" s="182"/>
      <c r="CY14" s="182"/>
      <c r="CZ14" s="182"/>
      <c r="DA14" s="182"/>
      <c r="DB14" s="182"/>
      <c r="DC14" s="182"/>
      <c r="DD14" s="182"/>
      <c r="DE14" s="182"/>
      <c r="DF14" s="182"/>
      <c r="DG14" s="182"/>
      <c r="DH14" s="182"/>
      <c r="DI14" s="182"/>
      <c r="DJ14" s="182"/>
      <c r="DK14" s="182"/>
      <c r="DL14" s="182"/>
      <c r="DM14" s="182"/>
      <c r="DN14" s="182"/>
      <c r="DO14" s="182"/>
      <c r="DP14" s="182"/>
      <c r="DQ14" s="182"/>
      <c r="DR14" s="182"/>
      <c r="DS14" s="182"/>
      <c r="DT14" s="182"/>
      <c r="DU14" s="182"/>
      <c r="DV14" s="182"/>
      <c r="DW14" s="182"/>
      <c r="DX14" s="182"/>
      <c r="DY14" s="182"/>
      <c r="DZ14" s="182"/>
      <c r="EA14" s="182"/>
      <c r="EB14" s="182"/>
      <c r="EC14" s="182"/>
      <c r="ED14" s="182"/>
      <c r="EE14" s="182"/>
      <c r="EF14" s="182"/>
      <c r="EG14" s="182"/>
      <c r="EH14" s="182"/>
      <c r="EI14" s="182"/>
      <c r="EJ14" s="182"/>
      <c r="EK14" s="182"/>
      <c r="EL14" s="182"/>
      <c r="EM14" s="182"/>
      <c r="EN14" s="182"/>
      <c r="EO14" s="182"/>
      <c r="EP14" s="182"/>
      <c r="EQ14" s="182"/>
      <c r="ER14" s="182"/>
      <c r="ES14" s="182"/>
      <c r="ET14" s="182"/>
      <c r="EU14" s="182"/>
      <c r="EV14" s="182"/>
      <c r="EW14" s="182"/>
      <c r="EX14" s="182"/>
      <c r="EY14" s="182"/>
      <c r="EZ14" s="182"/>
      <c r="FA14" s="182"/>
      <c r="FB14" s="182"/>
      <c r="FC14" s="182"/>
      <c r="FD14" s="182"/>
      <c r="FE14" s="182"/>
      <c r="FF14" s="182"/>
      <c r="FG14" s="182"/>
      <c r="FH14" s="182"/>
      <c r="FI14" s="182"/>
      <c r="FJ14" s="182"/>
      <c r="FK14" s="182"/>
      <c r="FL14" s="182"/>
      <c r="FM14" s="182"/>
      <c r="FN14" s="182"/>
      <c r="FO14" s="182"/>
      <c r="FP14" s="182"/>
      <c r="FQ14" s="182"/>
      <c r="FR14" s="182"/>
      <c r="FS14" s="182"/>
      <c r="FT14" s="182"/>
      <c r="FU14" s="182"/>
      <c r="FV14" s="182"/>
      <c r="FW14" s="182"/>
      <c r="FX14" s="182"/>
      <c r="FY14" s="182"/>
      <c r="FZ14" s="182"/>
      <c r="GA14" s="182"/>
      <c r="GB14" s="182"/>
      <c r="GC14" s="182"/>
      <c r="GD14" s="182"/>
      <c r="GE14" s="182"/>
      <c r="GF14" s="182"/>
      <c r="GG14" s="182"/>
      <c r="GH14" s="182"/>
      <c r="GI14" s="182"/>
      <c r="GJ14" s="182"/>
      <c r="GK14" s="182"/>
      <c r="GL14" s="182"/>
      <c r="GM14" s="182"/>
      <c r="GN14" s="182"/>
      <c r="GO14" s="182"/>
      <c r="GP14" s="182"/>
      <c r="GQ14" s="182"/>
      <c r="GR14" s="182"/>
      <c r="GS14" s="182"/>
      <c r="GT14" s="182"/>
      <c r="GU14" s="182"/>
      <c r="GV14" s="182"/>
      <c r="GW14" s="182"/>
      <c r="GX14" s="182"/>
      <c r="GY14" s="182"/>
      <c r="GZ14" s="182"/>
      <c r="HA14" s="182"/>
      <c r="HB14" s="182"/>
      <c r="HC14" s="182"/>
      <c r="HD14" s="182"/>
      <c r="HE14" s="182"/>
      <c r="HF14" s="182"/>
      <c r="HG14" s="182"/>
      <c r="HH14" s="182"/>
      <c r="HI14" s="182"/>
      <c r="HJ14" s="182"/>
      <c r="HK14" s="182"/>
      <c r="HL14" s="182"/>
      <c r="HM14" s="182"/>
      <c r="HN14" s="182"/>
      <c r="HO14" s="182"/>
      <c r="HP14" s="182"/>
      <c r="HQ14" s="182"/>
      <c r="HR14" s="182"/>
      <c r="HS14" s="182"/>
      <c r="HT14" s="182"/>
      <c r="HU14" s="182"/>
      <c r="HV14" s="182"/>
      <c r="HW14" s="182"/>
      <c r="HX14" s="182"/>
      <c r="HY14" s="182"/>
      <c r="HZ14" s="182"/>
      <c r="IA14" s="182"/>
      <c r="IB14" s="182"/>
      <c r="IC14" s="182"/>
      <c r="ID14" s="182"/>
      <c r="IE14" s="182"/>
      <c r="IF14" s="182"/>
      <c r="IG14" s="182"/>
      <c r="IH14" s="182"/>
      <c r="II14" s="182"/>
      <c r="IJ14" s="182"/>
      <c r="IK14" s="182"/>
      <c r="IL14" s="182"/>
      <c r="IM14" s="182"/>
      <c r="IN14" s="182"/>
      <c r="IO14" s="182"/>
      <c r="IP14" s="182"/>
      <c r="IQ14" s="182"/>
      <c r="IR14" s="182"/>
      <c r="IS14" s="182"/>
      <c r="IT14" s="182"/>
      <c r="IU14" s="182"/>
    </row>
    <row r="15" spans="1:255" ht="33.75">
      <c r="A15" s="183" t="s">
        <v>311</v>
      </c>
      <c r="B15" s="184" t="s">
        <v>312</v>
      </c>
      <c r="C15" s="184" t="s">
        <v>313</v>
      </c>
      <c r="D15" s="184" t="s">
        <v>314</v>
      </c>
      <c r="E15" s="185" t="s">
        <v>315</v>
      </c>
      <c r="F15" s="184" t="s">
        <v>316</v>
      </c>
      <c r="G15" s="184" t="s">
        <v>317</v>
      </c>
      <c r="I15" s="171">
        <v>2023</v>
      </c>
      <c r="J15" s="171">
        <v>2024</v>
      </c>
      <c r="K15" s="171">
        <v>2025</v>
      </c>
      <c r="L15" s="171">
        <v>2026</v>
      </c>
      <c r="M15" s="171">
        <v>2027</v>
      </c>
      <c r="N15" s="171">
        <v>2028</v>
      </c>
      <c r="O15" s="171">
        <v>2029</v>
      </c>
      <c r="P15" s="171">
        <v>2030</v>
      </c>
      <c r="Q15" s="171">
        <v>2031</v>
      </c>
      <c r="R15" s="171">
        <v>2032</v>
      </c>
    </row>
    <row r="16" spans="1:255">
      <c r="A16" s="186" t="s">
        <v>144</v>
      </c>
      <c r="B16" s="187" t="s">
        <v>318</v>
      </c>
      <c r="C16" s="187" t="s">
        <v>318</v>
      </c>
      <c r="D16" s="187" t="s">
        <v>318</v>
      </c>
      <c r="E16" s="188" t="s">
        <v>318</v>
      </c>
      <c r="F16" s="187" t="s">
        <v>318</v>
      </c>
      <c r="G16" s="187" t="s">
        <v>318</v>
      </c>
    </row>
    <row r="17" spans="1:18">
      <c r="A17" s="189" t="s">
        <v>319</v>
      </c>
      <c r="B17" s="175"/>
      <c r="C17" s="175"/>
      <c r="D17" s="175"/>
      <c r="E17" s="190"/>
      <c r="F17" s="175"/>
      <c r="G17" s="175"/>
    </row>
    <row r="18" spans="1:18">
      <c r="A18" s="175" t="s">
        <v>46</v>
      </c>
      <c r="B18" s="191">
        <v>11692.713</v>
      </c>
      <c r="C18" s="191">
        <v>15794.341</v>
      </c>
      <c r="D18" s="191">
        <v>20156.447</v>
      </c>
      <c r="E18" s="192">
        <v>24996.056</v>
      </c>
      <c r="F18" s="191">
        <v>29697.844000000001</v>
      </c>
      <c r="G18" s="191">
        <v>31615.55</v>
      </c>
      <c r="H18" s="198"/>
      <c r="I18" s="193"/>
      <c r="J18" s="193"/>
      <c r="K18" s="193"/>
      <c r="L18" s="193"/>
      <c r="M18" s="193"/>
      <c r="N18" s="193"/>
      <c r="O18" s="193"/>
      <c r="P18" s="193"/>
      <c r="Q18" s="193">
        <f t="shared" ref="Q18:R18" si="0">P18*1.06</f>
        <v>0</v>
      </c>
      <c r="R18" s="193">
        <f t="shared" si="0"/>
        <v>0</v>
      </c>
    </row>
    <row r="19" spans="1:18">
      <c r="A19" s="175" t="s">
        <v>320</v>
      </c>
      <c r="B19" s="191"/>
      <c r="C19" s="191"/>
      <c r="D19" s="191"/>
      <c r="E19" s="192"/>
      <c r="F19" s="191"/>
      <c r="G19" s="191">
        <f>G18*'Terminal Growth Rate'!C16</f>
        <v>17461.434133545314</v>
      </c>
      <c r="H19" s="198">
        <v>0.16</v>
      </c>
      <c r="I19" s="193">
        <f>G19*(1+0.05+(0.01*I13))</f>
        <v>18509.120181558032</v>
      </c>
      <c r="J19" s="193">
        <f>I19*(1+0.05+(0.01*J13))</f>
        <v>19804.758594267096</v>
      </c>
      <c r="K19" s="193">
        <f>J19*(1+0.05+(0.01*K13))</f>
        <v>21389.139281808464</v>
      </c>
      <c r="L19" s="193">
        <f>K19*(1+0.05+(0.01*L13))</f>
        <v>23314.161817171229</v>
      </c>
      <c r="M19" s="193">
        <f>L19*(1+0.0812)</f>
        <v>25207.271756725531</v>
      </c>
      <c r="N19" s="193">
        <f t="shared" ref="N19:R19" si="1">M19*(1+0.0812)</f>
        <v>27254.102223371643</v>
      </c>
      <c r="O19" s="193">
        <f t="shared" si="1"/>
        <v>29467.135323909421</v>
      </c>
      <c r="P19" s="193">
        <f t="shared" si="1"/>
        <v>31859.866712210864</v>
      </c>
      <c r="Q19" s="193">
        <f t="shared" si="1"/>
        <v>34446.887889242382</v>
      </c>
      <c r="R19" s="193">
        <f t="shared" si="1"/>
        <v>37243.97518584886</v>
      </c>
    </row>
    <row r="20" spans="1:18">
      <c r="A20" s="175" t="s">
        <v>321</v>
      </c>
      <c r="B20" s="191"/>
      <c r="C20" s="191"/>
      <c r="D20" s="191"/>
      <c r="E20" s="192"/>
      <c r="F20" s="191"/>
      <c r="G20" s="191">
        <f>G18*'Terminal Growth Rate'!C15</f>
        <v>14154.115866454689</v>
      </c>
      <c r="H20" s="198">
        <v>0.11</v>
      </c>
      <c r="I20" s="193">
        <f>G20*(1+0.05+(0.01*I13))</f>
        <v>15003.362818441972</v>
      </c>
      <c r="J20" s="193">
        <f>I20*(1+0.05+(0.01*J13))</f>
        <v>16053.598215732911</v>
      </c>
      <c r="K20" s="193">
        <f t="shared" ref="K20:P20" si="2">J20*(1+0.05+(0.01*K13))</f>
        <v>17337.886072991543</v>
      </c>
      <c r="L20" s="193">
        <f t="shared" si="2"/>
        <v>18898.295819560783</v>
      </c>
      <c r="M20" s="193">
        <f t="shared" si="2"/>
        <v>20788.125401516863</v>
      </c>
      <c r="N20" s="193">
        <f t="shared" si="2"/>
        <v>23074.819195683722</v>
      </c>
      <c r="O20" s="193">
        <f t="shared" si="2"/>
        <v>25843.797499165772</v>
      </c>
      <c r="P20" s="193">
        <f t="shared" si="2"/>
        <v>29203.491174057326</v>
      </c>
      <c r="Q20" s="193"/>
      <c r="R20" s="193"/>
    </row>
    <row r="21" spans="1:18">
      <c r="A21" s="175"/>
      <c r="B21" s="191"/>
      <c r="C21" s="191"/>
      <c r="D21" s="191"/>
      <c r="E21" s="192"/>
      <c r="F21" s="191"/>
      <c r="G21" s="191"/>
    </row>
    <row r="22" spans="1:18">
      <c r="A22" s="189" t="s">
        <v>322</v>
      </c>
      <c r="B22" s="194">
        <v>11692.713</v>
      </c>
      <c r="C22" s="194">
        <v>15794.341</v>
      </c>
      <c r="D22" s="194">
        <v>20156.447</v>
      </c>
      <c r="E22" s="195">
        <v>24996.056</v>
      </c>
      <c r="F22" s="194">
        <v>29697.844000000001</v>
      </c>
      <c r="G22" s="194">
        <v>31615.55</v>
      </c>
      <c r="I22" s="193">
        <f>SUM(I19:I20)</f>
        <v>33512.483000000007</v>
      </c>
      <c r="J22" s="193">
        <f t="shared" ref="J22:P22" si="3">SUM(J19:J20)</f>
        <v>35858.356810000005</v>
      </c>
      <c r="K22" s="193">
        <f t="shared" si="3"/>
        <v>38727.025354800004</v>
      </c>
      <c r="L22" s="193">
        <f t="shared" si="3"/>
        <v>42212.457636732011</v>
      </c>
      <c r="M22" s="193">
        <f t="shared" si="3"/>
        <v>45995.397158242398</v>
      </c>
      <c r="N22" s="193">
        <f t="shared" si="3"/>
        <v>50328.921419055361</v>
      </c>
      <c r="O22" s="193">
        <f t="shared" si="3"/>
        <v>55310.932823075193</v>
      </c>
      <c r="P22" s="193">
        <f t="shared" si="3"/>
        <v>61063.35788626819</v>
      </c>
      <c r="Q22" s="193">
        <f t="shared" ref="Q22:R22" si="4">Q18+Q21</f>
        <v>0</v>
      </c>
      <c r="R22" s="193">
        <f t="shared" si="4"/>
        <v>0</v>
      </c>
    </row>
    <row r="23" spans="1:18">
      <c r="A23" s="175"/>
      <c r="B23" s="196">
        <f>(C22-B22)/B22</f>
        <v>0.35078497180252355</v>
      </c>
      <c r="C23" s="196">
        <f t="shared" ref="C23:F23" si="5">(D22-C22)/C22</f>
        <v>0.27618157667990073</v>
      </c>
      <c r="D23" s="196">
        <f t="shared" si="5"/>
        <v>0.24010228588401519</v>
      </c>
      <c r="E23" s="197">
        <f t="shared" si="5"/>
        <v>0.18810119484449869</v>
      </c>
      <c r="F23" s="196">
        <f t="shared" si="5"/>
        <v>6.45739131769969E-2</v>
      </c>
      <c r="G23" s="196">
        <f>AVERAGE(B23:F23)</f>
        <v>0.22394878847758698</v>
      </c>
      <c r="H23" s="247">
        <f>AVERAGE(B23:E23)</f>
        <v>0.26379250730273451</v>
      </c>
    </row>
    <row r="24" spans="1:18">
      <c r="A24" s="175" t="s">
        <v>323</v>
      </c>
      <c r="B24" s="191">
        <v>8033</v>
      </c>
      <c r="C24" s="191">
        <v>9967.5380000000005</v>
      </c>
      <c r="D24" s="191">
        <v>12440.213</v>
      </c>
      <c r="E24" s="192">
        <v>15276.319</v>
      </c>
      <c r="F24" s="191">
        <v>17332.683000000001</v>
      </c>
      <c r="G24" s="191">
        <v>19168.285</v>
      </c>
      <c r="H24" s="198"/>
      <c r="I24" s="193">
        <f>I22*-0.0614</f>
        <v>-2057.6664562000005</v>
      </c>
      <c r="J24" s="193">
        <f t="shared" ref="J24:R24" si="6">J22*-0.0614</f>
        <v>-2201.7031081340006</v>
      </c>
      <c r="K24" s="193">
        <f t="shared" si="6"/>
        <v>-2377.8393567847202</v>
      </c>
      <c r="L24" s="193">
        <f t="shared" si="6"/>
        <v>-2591.8448988953455</v>
      </c>
      <c r="M24" s="193">
        <f t="shared" si="6"/>
        <v>-2824.1173855160832</v>
      </c>
      <c r="N24" s="193">
        <f t="shared" si="6"/>
        <v>-3090.1957751299992</v>
      </c>
      <c r="O24" s="193">
        <f t="shared" si="6"/>
        <v>-3396.091275336817</v>
      </c>
      <c r="P24" s="193">
        <f t="shared" si="6"/>
        <v>-3749.2901742168669</v>
      </c>
      <c r="Q24" s="193">
        <f t="shared" si="6"/>
        <v>0</v>
      </c>
      <c r="R24" s="193">
        <f t="shared" si="6"/>
        <v>0</v>
      </c>
    </row>
    <row r="25" spans="1:18">
      <c r="A25" s="175"/>
      <c r="B25" s="191"/>
      <c r="C25" s="191"/>
      <c r="D25" s="191"/>
      <c r="E25" s="192"/>
      <c r="F25" s="191"/>
      <c r="G25" s="191"/>
      <c r="H25" s="198"/>
    </row>
    <row r="26" spans="1:18">
      <c r="A26" s="175"/>
      <c r="B26" s="191"/>
      <c r="C26" s="191"/>
      <c r="D26" s="191"/>
      <c r="E26" s="192"/>
      <c r="F26" s="191"/>
      <c r="G26" s="191"/>
      <c r="H26" s="198"/>
    </row>
    <row r="27" spans="1:18">
      <c r="A27" s="189" t="s">
        <v>324</v>
      </c>
      <c r="B27" s="194">
        <v>3659.7130000000002</v>
      </c>
      <c r="C27" s="194">
        <v>5826.8029999999999</v>
      </c>
      <c r="D27" s="194">
        <v>7716.2340000000004</v>
      </c>
      <c r="E27" s="195">
        <v>9719.7369999999992</v>
      </c>
      <c r="F27" s="194">
        <v>12365.161</v>
      </c>
      <c r="G27" s="194">
        <v>12447.264999999999</v>
      </c>
      <c r="H27" s="198"/>
      <c r="I27" s="193">
        <f>I22+I24</f>
        <v>31454.816543800007</v>
      </c>
      <c r="J27" s="193">
        <f t="shared" ref="J27:R27" si="7">J22+J24</f>
        <v>33656.653701866002</v>
      </c>
      <c r="K27" s="193">
        <f t="shared" si="7"/>
        <v>36349.18599801528</v>
      </c>
      <c r="L27" s="193">
        <f t="shared" si="7"/>
        <v>39620.612737836665</v>
      </c>
      <c r="M27" s="193">
        <f t="shared" si="7"/>
        <v>43171.279772726317</v>
      </c>
      <c r="N27" s="193">
        <f t="shared" si="7"/>
        <v>47238.725643925362</v>
      </c>
      <c r="O27" s="193">
        <f t="shared" si="7"/>
        <v>51914.841547738375</v>
      </c>
      <c r="P27" s="193">
        <f t="shared" si="7"/>
        <v>57314.067712051321</v>
      </c>
      <c r="Q27" s="193">
        <f t="shared" si="7"/>
        <v>0</v>
      </c>
      <c r="R27" s="193">
        <f t="shared" si="7"/>
        <v>0</v>
      </c>
    </row>
    <row r="28" spans="1:18">
      <c r="A28" s="175"/>
      <c r="B28" s="175"/>
      <c r="C28" s="175"/>
      <c r="D28" s="175"/>
      <c r="E28" s="190"/>
      <c r="F28" s="175"/>
      <c r="G28" s="175"/>
      <c r="H28" s="198"/>
    </row>
    <row r="29" spans="1:18">
      <c r="A29" s="175" t="s">
        <v>325</v>
      </c>
      <c r="B29" s="191">
        <v>1867.3240000000001</v>
      </c>
      <c r="C29" s="191">
        <v>2999.7629999999999</v>
      </c>
      <c r="D29" s="191">
        <v>3566.8310000000001</v>
      </c>
      <c r="E29" s="192">
        <v>3304.848</v>
      </c>
      <c r="F29" s="191">
        <v>3896.7669999999998</v>
      </c>
      <c r="G29" s="191">
        <v>4103.393</v>
      </c>
      <c r="H29" s="198"/>
      <c r="I29" s="199"/>
      <c r="J29" s="199"/>
      <c r="K29" s="199"/>
      <c r="L29" s="199"/>
      <c r="M29" s="199"/>
      <c r="N29" s="199"/>
      <c r="O29" s="199"/>
      <c r="P29" s="199"/>
      <c r="Q29" s="199"/>
      <c r="R29" s="199"/>
    </row>
    <row r="30" spans="1:18">
      <c r="A30" s="175"/>
      <c r="B30" s="200">
        <f>B29/B22</f>
        <v>0.15969980619553392</v>
      </c>
      <c r="C30" s="200">
        <f t="shared" ref="C30:G30" si="8">C29/C22</f>
        <v>0.18992644264170311</v>
      </c>
      <c r="D30" s="200">
        <f t="shared" si="8"/>
        <v>0.17695732784651977</v>
      </c>
      <c r="E30" s="201">
        <f t="shared" si="8"/>
        <v>0.13221477820340938</v>
      </c>
      <c r="F30" s="200">
        <f t="shared" si="8"/>
        <v>0.13121380124429233</v>
      </c>
      <c r="G30" s="200">
        <f t="shared" si="8"/>
        <v>0.12979034051281726</v>
      </c>
      <c r="H30" s="198">
        <f t="shared" ref="H30:H40" si="9">AVERAGE(B30:E30)</f>
        <v>0.16469958872179152</v>
      </c>
      <c r="I30" s="199">
        <f>I22*-$H$30</f>
        <v>-5519.4921671460315</v>
      </c>
      <c r="J30" s="199">
        <f t="shared" ref="J30:P30" si="10">J22*-$H$30</f>
        <v>-5905.8566188462528</v>
      </c>
      <c r="K30" s="199">
        <f t="shared" si="10"/>
        <v>-6378.3251483539534</v>
      </c>
      <c r="L30" s="199">
        <f t="shared" si="10"/>
        <v>-6952.3744117058104</v>
      </c>
      <c r="M30" s="199">
        <f t="shared" si="10"/>
        <v>-7575.422995057982</v>
      </c>
      <c r="N30" s="199">
        <f t="shared" si="10"/>
        <v>-8289.1526585297815</v>
      </c>
      <c r="O30" s="199">
        <f t="shared" si="10"/>
        <v>-9109.6878877791241</v>
      </c>
      <c r="P30" s="199">
        <f t="shared" si="10"/>
        <v>-10057.109929839935</v>
      </c>
      <c r="Q30" s="199">
        <f t="shared" ref="Q30:R30" si="11">Q22*-$H$30*((1+0.02)^Q13)</f>
        <v>0</v>
      </c>
      <c r="R30" s="199">
        <f t="shared" si="11"/>
        <v>0</v>
      </c>
    </row>
    <row r="31" spans="1:18">
      <c r="A31" s="175" t="s">
        <v>326</v>
      </c>
      <c r="B31" s="191">
        <v>953.71</v>
      </c>
      <c r="C31" s="191">
        <v>1221.8140000000001</v>
      </c>
      <c r="D31" s="191">
        <v>1545.1489999999999</v>
      </c>
      <c r="E31" s="192">
        <v>1829.6</v>
      </c>
      <c r="F31" s="191">
        <v>2273.8850000000002</v>
      </c>
      <c r="G31" s="191">
        <v>2711.0410000000002</v>
      </c>
      <c r="H31" s="198"/>
      <c r="I31" s="199">
        <f t="shared" ref="I31" si="12">I23*-$H$30</f>
        <v>0</v>
      </c>
    </row>
    <row r="32" spans="1:18">
      <c r="A32" s="175"/>
      <c r="B32" s="200">
        <f>B31/B22</f>
        <v>8.1564475241973355E-2</v>
      </c>
      <c r="C32" s="200">
        <f t="shared" ref="C32:G32" si="13">C31/C22</f>
        <v>7.7357706788779609E-2</v>
      </c>
      <c r="D32" s="200">
        <f t="shared" si="13"/>
        <v>7.6657805812701013E-2</v>
      </c>
      <c r="E32" s="201">
        <f t="shared" si="13"/>
        <v>7.3195547329546709E-2</v>
      </c>
      <c r="F32" s="200">
        <f t="shared" si="13"/>
        <v>7.6567342733701485E-2</v>
      </c>
      <c r="G32" s="200">
        <f t="shared" si="13"/>
        <v>8.5750239992661847E-2</v>
      </c>
      <c r="H32" s="198">
        <f t="shared" si="9"/>
        <v>7.7193883793250179E-2</v>
      </c>
      <c r="I32" s="199">
        <f>I22*-$H$32</f>
        <v>-2586.9587183252729</v>
      </c>
      <c r="J32" s="199">
        <f t="shared" ref="J32:P32" si="14">J22*-$H$32</f>
        <v>-2768.0458286080416</v>
      </c>
      <c r="K32" s="199">
        <f t="shared" si="14"/>
        <v>-2989.4894948966848</v>
      </c>
      <c r="L32" s="199">
        <f t="shared" si="14"/>
        <v>-3258.5435494373869</v>
      </c>
      <c r="M32" s="199">
        <f t="shared" si="14"/>
        <v>-3550.5633432577533</v>
      </c>
      <c r="N32" s="199">
        <f t="shared" si="14"/>
        <v>-3885.0849114621792</v>
      </c>
      <c r="O32" s="199">
        <f t="shared" si="14"/>
        <v>-4269.6657208407332</v>
      </c>
      <c r="P32" s="199">
        <f t="shared" si="14"/>
        <v>-4713.7177526982332</v>
      </c>
      <c r="Q32" s="199">
        <f t="shared" ref="Q32:R32" si="15">Q22*-$H$32*((1+0.02)^Q13)</f>
        <v>0</v>
      </c>
      <c r="R32" s="199">
        <f t="shared" si="15"/>
        <v>0</v>
      </c>
    </row>
    <row r="33" spans="1:39">
      <c r="A33" s="175" t="s">
        <v>327</v>
      </c>
      <c r="B33" s="191">
        <v>6269.7280000000001</v>
      </c>
      <c r="C33" s="191">
        <v>7615.2449999999999</v>
      </c>
      <c r="D33" s="191">
        <v>9319.8259999999991</v>
      </c>
      <c r="E33" s="192">
        <v>10922.621999999999</v>
      </c>
      <c r="F33" s="191">
        <v>12438.779</v>
      </c>
      <c r="G33" s="191">
        <v>14362.814</v>
      </c>
      <c r="H33" s="198"/>
    </row>
    <row r="34" spans="1:39">
      <c r="A34" s="175"/>
      <c r="B34" s="200">
        <f>B33/B22</f>
        <v>0.53620814946881878</v>
      </c>
      <c r="C34" s="200">
        <f t="shared" ref="C34:G34" si="16">C33/C22</f>
        <v>0.48215022076577935</v>
      </c>
      <c r="D34" s="200">
        <f t="shared" si="16"/>
        <v>0.46237444525813498</v>
      </c>
      <c r="E34" s="200">
        <f t="shared" si="16"/>
        <v>0.43697381698936821</v>
      </c>
      <c r="F34" s="200">
        <f t="shared" si="16"/>
        <v>0.41884451275318169</v>
      </c>
      <c r="G34" s="200">
        <f t="shared" si="16"/>
        <v>0.45429587655441706</v>
      </c>
      <c r="H34" s="198">
        <v>0.4</v>
      </c>
      <c r="I34" s="199">
        <f>I22*-$H$34</f>
        <v>-13404.993200000004</v>
      </c>
      <c r="J34" s="199">
        <f t="shared" ref="J34:R34" si="17">J22*-$H$34</f>
        <v>-14343.342724000002</v>
      </c>
      <c r="K34" s="199">
        <f t="shared" si="17"/>
        <v>-15490.810141920003</v>
      </c>
      <c r="L34" s="199">
        <f t="shared" si="17"/>
        <v>-16884.983054692806</v>
      </c>
      <c r="M34" s="199">
        <f t="shared" si="17"/>
        <v>-18398.158863296961</v>
      </c>
      <c r="N34" s="199">
        <f t="shared" si="17"/>
        <v>-20131.568567622147</v>
      </c>
      <c r="O34" s="199">
        <f t="shared" si="17"/>
        <v>-22124.37312923008</v>
      </c>
      <c r="P34" s="199">
        <f t="shared" si="17"/>
        <v>-24425.343154507278</v>
      </c>
      <c r="Q34" s="199">
        <f t="shared" si="17"/>
        <v>0</v>
      </c>
      <c r="R34" s="199">
        <f t="shared" si="17"/>
        <v>0</v>
      </c>
    </row>
    <row r="35" spans="1:39">
      <c r="A35" s="175" t="s">
        <v>328</v>
      </c>
      <c r="B35" s="191" t="s">
        <v>100</v>
      </c>
      <c r="C35" s="191" t="s">
        <v>100</v>
      </c>
      <c r="D35" s="191" t="s">
        <v>100</v>
      </c>
      <c r="E35" s="192" t="s">
        <v>100</v>
      </c>
      <c r="F35" s="191" t="s">
        <v>100</v>
      </c>
      <c r="G35" s="191" t="s">
        <v>100</v>
      </c>
      <c r="H35" s="198"/>
      <c r="I35" s="171">
        <v>2562</v>
      </c>
      <c r="J35" s="171">
        <v>2562</v>
      </c>
      <c r="K35" s="171">
        <v>2562</v>
      </c>
      <c r="L35" s="171">
        <v>2562</v>
      </c>
      <c r="M35" s="171">
        <v>2562</v>
      </c>
      <c r="N35" s="171">
        <v>2562</v>
      </c>
      <c r="O35" s="171">
        <v>2562</v>
      </c>
      <c r="P35" s="171">
        <v>2562</v>
      </c>
      <c r="Q35" s="171">
        <v>2562</v>
      </c>
      <c r="R35" s="171">
        <v>2562</v>
      </c>
    </row>
    <row r="36" spans="1:39">
      <c r="A36" s="175"/>
      <c r="B36" s="175"/>
      <c r="C36" s="175"/>
      <c r="D36" s="175"/>
      <c r="E36" s="190"/>
      <c r="F36" s="175"/>
      <c r="G36" s="175"/>
      <c r="H36" s="198"/>
      <c r="I36" s="199">
        <f>I34+I35</f>
        <v>-10842.993200000004</v>
      </c>
      <c r="J36" s="199">
        <f t="shared" ref="J36:R36" si="18">J34+J35</f>
        <v>-11781.342724000002</v>
      </c>
      <c r="K36" s="199">
        <f t="shared" si="18"/>
        <v>-12928.810141920003</v>
      </c>
      <c r="L36" s="199">
        <f t="shared" si="18"/>
        <v>-14322.983054692806</v>
      </c>
      <c r="M36" s="199">
        <f t="shared" si="18"/>
        <v>-15836.158863296961</v>
      </c>
      <c r="N36" s="199">
        <f t="shared" si="18"/>
        <v>-17569.568567622147</v>
      </c>
      <c r="O36" s="199">
        <f t="shared" si="18"/>
        <v>-19562.37312923008</v>
      </c>
      <c r="P36" s="199">
        <f t="shared" si="18"/>
        <v>-21863.343154507278</v>
      </c>
      <c r="Q36" s="199">
        <f t="shared" si="18"/>
        <v>2562</v>
      </c>
      <c r="R36" s="199">
        <f t="shared" si="18"/>
        <v>2562</v>
      </c>
      <c r="S36" s="171">
        <v>1</v>
      </c>
      <c r="T36" s="199">
        <f>-I36</f>
        <v>10842.993200000004</v>
      </c>
      <c r="U36" s="199">
        <f t="shared" ref="U36:AM36" si="19">-J36</f>
        <v>11781.342724000002</v>
      </c>
      <c r="V36" s="199">
        <f t="shared" si="19"/>
        <v>12928.810141920003</v>
      </c>
      <c r="W36" s="199">
        <f t="shared" si="19"/>
        <v>14322.983054692806</v>
      </c>
      <c r="X36" s="199">
        <f t="shared" si="19"/>
        <v>15836.158863296961</v>
      </c>
      <c r="Y36" s="199">
        <f t="shared" si="19"/>
        <v>17569.568567622147</v>
      </c>
      <c r="Z36" s="199">
        <f t="shared" si="19"/>
        <v>19562.37312923008</v>
      </c>
      <c r="AA36" s="199">
        <f t="shared" si="19"/>
        <v>21863.343154507278</v>
      </c>
      <c r="AB36" s="199">
        <f t="shared" si="19"/>
        <v>-2562</v>
      </c>
      <c r="AC36" s="199">
        <f t="shared" si="19"/>
        <v>-2562</v>
      </c>
      <c r="AD36" s="199">
        <f t="shared" si="19"/>
        <v>-1</v>
      </c>
      <c r="AE36" s="199">
        <f t="shared" si="19"/>
        <v>-10842.993200000004</v>
      </c>
      <c r="AF36" s="199">
        <f t="shared" si="19"/>
        <v>-11781.342724000002</v>
      </c>
      <c r="AG36" s="199">
        <f t="shared" si="19"/>
        <v>-12928.810141920003</v>
      </c>
      <c r="AH36" s="199">
        <f t="shared" si="19"/>
        <v>-14322.983054692806</v>
      </c>
      <c r="AI36" s="199">
        <f t="shared" si="19"/>
        <v>-15836.158863296961</v>
      </c>
      <c r="AJ36" s="199">
        <f t="shared" si="19"/>
        <v>-17569.568567622147</v>
      </c>
      <c r="AK36" s="199">
        <f t="shared" si="19"/>
        <v>-19562.37312923008</v>
      </c>
      <c r="AL36" s="199">
        <f t="shared" si="19"/>
        <v>-21863.343154507278</v>
      </c>
      <c r="AM36" s="199">
        <f t="shared" si="19"/>
        <v>2562</v>
      </c>
    </row>
    <row r="37" spans="1:39">
      <c r="A37" s="189" t="s">
        <v>329</v>
      </c>
      <c r="B37" s="194">
        <v>2821.0340000000001</v>
      </c>
      <c r="C37" s="194">
        <v>4221.5770000000002</v>
      </c>
      <c r="D37" s="194">
        <v>5111.9799999999996</v>
      </c>
      <c r="E37" s="195">
        <v>5134.4480000000003</v>
      </c>
      <c r="F37" s="194">
        <v>6170.652</v>
      </c>
      <c r="G37" s="194">
        <v>6814.4340000000002</v>
      </c>
      <c r="H37" s="198"/>
      <c r="I37" s="193">
        <f>SUM(I29:I34)</f>
        <v>-21511.44408547131</v>
      </c>
      <c r="J37" s="193">
        <f t="shared" ref="J37:R37" si="20">SUM(J29:J34)</f>
        <v>-23017.245171454299</v>
      </c>
      <c r="K37" s="193">
        <f t="shared" si="20"/>
        <v>-24858.624785170643</v>
      </c>
      <c r="L37" s="193">
        <f t="shared" si="20"/>
        <v>-27095.901015836003</v>
      </c>
      <c r="M37" s="193">
        <f t="shared" si="20"/>
        <v>-29524.145201612697</v>
      </c>
      <c r="N37" s="193">
        <f t="shared" si="20"/>
        <v>-32305.806137614109</v>
      </c>
      <c r="O37" s="193">
        <f t="shared" si="20"/>
        <v>-35503.726737849938</v>
      </c>
      <c r="P37" s="193">
        <f t="shared" si="20"/>
        <v>-39196.170837045443</v>
      </c>
      <c r="Q37" s="193">
        <f t="shared" si="20"/>
        <v>0</v>
      </c>
      <c r="R37" s="193">
        <f t="shared" si="20"/>
        <v>0</v>
      </c>
    </row>
    <row r="38" spans="1:39">
      <c r="A38" s="175"/>
      <c r="B38" s="175"/>
      <c r="C38" s="175"/>
      <c r="D38" s="175"/>
      <c r="E38" s="190"/>
      <c r="F38" s="175"/>
      <c r="G38" s="175"/>
      <c r="H38" s="198"/>
    </row>
    <row r="39" spans="1:39">
      <c r="A39" s="189" t="s">
        <v>330</v>
      </c>
      <c r="B39" s="202">
        <v>838.67899999999997</v>
      </c>
      <c r="C39" s="202">
        <v>1605.2260000000001</v>
      </c>
      <c r="D39" s="202">
        <v>2604.2539999999999</v>
      </c>
      <c r="E39" s="203">
        <v>4585.2889999999998</v>
      </c>
      <c r="F39" s="202">
        <v>6194.509</v>
      </c>
      <c r="G39" s="202">
        <v>5632.8310000000001</v>
      </c>
      <c r="H39" s="198"/>
      <c r="I39" s="193">
        <f>I27+I37</f>
        <v>9943.3724583286967</v>
      </c>
      <c r="J39" s="193">
        <f t="shared" ref="J39:P39" si="21">J27+J37</f>
        <v>10639.408530411703</v>
      </c>
      <c r="K39" s="193">
        <f t="shared" si="21"/>
        <v>11490.561212844637</v>
      </c>
      <c r="L39" s="193">
        <f t="shared" si="21"/>
        <v>12524.711722000662</v>
      </c>
      <c r="M39" s="193">
        <f t="shared" si="21"/>
        <v>13647.13457111362</v>
      </c>
      <c r="N39" s="193">
        <f t="shared" si="21"/>
        <v>14932.919506311253</v>
      </c>
      <c r="O39" s="193">
        <f t="shared" si="21"/>
        <v>16411.114809888437</v>
      </c>
      <c r="P39" s="193">
        <f t="shared" si="21"/>
        <v>18117.896875005878</v>
      </c>
      <c r="Q39" s="193">
        <f t="shared" ref="Q39:R39" si="22">Q22*($H$40*((1+0.02)^Q13))</f>
        <v>0</v>
      </c>
      <c r="R39" s="193">
        <f t="shared" si="22"/>
        <v>0</v>
      </c>
      <c r="S39" s="171" t="s">
        <v>92</v>
      </c>
    </row>
    <row r="40" spans="1:39">
      <c r="A40" s="175"/>
      <c r="B40" s="196">
        <f>B39/B22</f>
        <v>7.1726638633822615E-2</v>
      </c>
      <c r="C40" s="196">
        <f t="shared" ref="C40:G40" si="23">C39/C22</f>
        <v>0.10163298361102879</v>
      </c>
      <c r="D40" s="196">
        <f t="shared" si="23"/>
        <v>0.12920203645017397</v>
      </c>
      <c r="E40" s="196">
        <f t="shared" si="23"/>
        <v>0.18344049957321265</v>
      </c>
      <c r="F40" s="196">
        <f t="shared" si="23"/>
        <v>0.20858446828665406</v>
      </c>
      <c r="G40" s="196">
        <f t="shared" si="23"/>
        <v>0.17816647187855345</v>
      </c>
      <c r="H40" s="247">
        <f t="shared" si="9"/>
        <v>0.1215005395670595</v>
      </c>
    </row>
    <row r="41" spans="1:39" ht="15.75">
      <c r="A41" s="175" t="s">
        <v>331</v>
      </c>
      <c r="B41" s="191">
        <v>-238.2</v>
      </c>
      <c r="C41" s="191">
        <v>-420.5</v>
      </c>
      <c r="D41" s="191">
        <v>-626</v>
      </c>
      <c r="E41" s="192">
        <v>-767.5</v>
      </c>
      <c r="F41" s="191">
        <v>-765.6</v>
      </c>
      <c r="G41" s="191">
        <v>-706.2</v>
      </c>
      <c r="H41" s="204" t="s">
        <v>332</v>
      </c>
      <c r="I41" s="193">
        <f t="shared" ref="I41:R41" si="24">I39*-0.21</f>
        <v>-2088.1082162490261</v>
      </c>
      <c r="J41" s="193">
        <f t="shared" si="24"/>
        <v>-2234.2757913864575</v>
      </c>
      <c r="K41" s="193">
        <f t="shared" si="24"/>
        <v>-2413.0178546973739</v>
      </c>
      <c r="L41" s="193">
        <f t="shared" si="24"/>
        <v>-2630.1894616201389</v>
      </c>
      <c r="M41" s="193">
        <f t="shared" si="24"/>
        <v>-2865.8982599338601</v>
      </c>
      <c r="N41" s="193">
        <f t="shared" si="24"/>
        <v>-3135.9130963253629</v>
      </c>
      <c r="O41" s="193">
        <f t="shared" si="24"/>
        <v>-3446.3341100765715</v>
      </c>
      <c r="P41" s="193">
        <f t="shared" si="24"/>
        <v>-3804.758343751234</v>
      </c>
      <c r="Q41" s="193">
        <f t="shared" si="24"/>
        <v>0</v>
      </c>
      <c r="R41" s="193">
        <f t="shared" si="24"/>
        <v>0</v>
      </c>
    </row>
    <row r="42" spans="1:39" ht="15.75">
      <c r="A42" s="175" t="s">
        <v>333</v>
      </c>
      <c r="B42" s="191">
        <v>12.846</v>
      </c>
      <c r="C42" s="191">
        <v>42.725000000000001</v>
      </c>
      <c r="D42" s="191">
        <v>77</v>
      </c>
      <c r="E42" s="192">
        <v>41.558999999999997</v>
      </c>
      <c r="F42" s="191">
        <v>8.2140000000000004</v>
      </c>
      <c r="G42" s="191">
        <v>55.31</v>
      </c>
      <c r="H42" s="205" t="s">
        <v>334</v>
      </c>
      <c r="I42" s="193">
        <f>I39+I41</f>
        <v>7855.264242079671</v>
      </c>
      <c r="J42" s="193">
        <f t="shared" ref="J42:R42" si="25">J39+J41</f>
        <v>8405.1327390252463</v>
      </c>
      <c r="K42" s="193">
        <f t="shared" si="25"/>
        <v>9077.5433581472644</v>
      </c>
      <c r="L42" s="193">
        <f t="shared" si="25"/>
        <v>9894.5222603805232</v>
      </c>
      <c r="M42" s="193">
        <f t="shared" si="25"/>
        <v>10781.23631117976</v>
      </c>
      <c r="N42" s="193">
        <f t="shared" si="25"/>
        <v>11797.00640998589</v>
      </c>
      <c r="O42" s="193">
        <f t="shared" si="25"/>
        <v>12964.780699811865</v>
      </c>
      <c r="P42" s="193">
        <f t="shared" si="25"/>
        <v>14313.138531254644</v>
      </c>
      <c r="Q42" s="193">
        <f t="shared" si="25"/>
        <v>0</v>
      </c>
      <c r="R42" s="193">
        <f t="shared" si="25"/>
        <v>0</v>
      </c>
    </row>
    <row r="43" spans="1:39" ht="15.75">
      <c r="A43" s="189" t="s">
        <v>335</v>
      </c>
      <c r="B43" s="194">
        <v>-225.4</v>
      </c>
      <c r="C43" s="194">
        <v>-377.8</v>
      </c>
      <c r="D43" s="194">
        <v>-549</v>
      </c>
      <c r="E43" s="195">
        <v>-725.9</v>
      </c>
      <c r="F43" s="194">
        <v>-757.4</v>
      </c>
      <c r="G43" s="194">
        <v>-650.9</v>
      </c>
      <c r="H43" s="204" t="s">
        <v>336</v>
      </c>
      <c r="I43" s="199">
        <f>-I34</f>
        <v>13404.993200000004</v>
      </c>
      <c r="J43" s="199">
        <f t="shared" ref="J43:R43" si="26">-J34</f>
        <v>14343.342724000002</v>
      </c>
      <c r="K43" s="199">
        <f t="shared" si="26"/>
        <v>15490.810141920003</v>
      </c>
      <c r="L43" s="199">
        <f t="shared" si="26"/>
        <v>16884.983054692806</v>
      </c>
      <c r="M43" s="199">
        <f t="shared" si="26"/>
        <v>18398.158863296961</v>
      </c>
      <c r="N43" s="199">
        <f t="shared" si="26"/>
        <v>20131.568567622147</v>
      </c>
      <c r="O43" s="199">
        <f t="shared" si="26"/>
        <v>22124.37312923008</v>
      </c>
      <c r="P43" s="199">
        <f t="shared" si="26"/>
        <v>24425.343154507278</v>
      </c>
      <c r="Q43" s="199">
        <f t="shared" si="26"/>
        <v>0</v>
      </c>
      <c r="R43" s="199">
        <f t="shared" si="26"/>
        <v>0</v>
      </c>
    </row>
    <row r="44" spans="1:39" ht="15.75">
      <c r="A44" s="175"/>
      <c r="B44" s="175"/>
      <c r="C44" s="175"/>
      <c r="D44" s="175"/>
      <c r="E44" s="190"/>
      <c r="F44" s="175"/>
      <c r="G44" s="175"/>
      <c r="H44" s="204" t="s">
        <v>337</v>
      </c>
      <c r="I44" s="193">
        <f>I22*$H$65-16659.728</f>
        <v>-17156.062183466162</v>
      </c>
      <c r="J44" s="193">
        <f t="shared" ref="J44:P44" si="27">J22*$H$65-16659.728</f>
        <v>-17190.80557630879</v>
      </c>
      <c r="K44" s="193">
        <f t="shared" si="27"/>
        <v>-17233.291782413497</v>
      </c>
      <c r="L44" s="193">
        <f t="shared" si="27"/>
        <v>-17284.912522830709</v>
      </c>
      <c r="M44" s="193">
        <f t="shared" si="27"/>
        <v>-17340.939472505277</v>
      </c>
      <c r="N44" s="193">
        <f t="shared" si="27"/>
        <v>-17405.120817275267</v>
      </c>
      <c r="O44" s="193">
        <f t="shared" si="27"/>
        <v>-17478.906533548012</v>
      </c>
      <c r="P44" s="193">
        <f t="shared" si="27"/>
        <v>-17564.102405089081</v>
      </c>
      <c r="Q44" s="193">
        <f t="shared" ref="Q44:R44" si="28">Q22*$H$65*(1+0.02)^Q13-16659.728</f>
        <v>-16659.727999999999</v>
      </c>
      <c r="R44" s="193">
        <f t="shared" si="28"/>
        <v>-16659.727999999999</v>
      </c>
    </row>
    <row r="45" spans="1:39" ht="15.75">
      <c r="A45" s="175" t="s">
        <v>338</v>
      </c>
      <c r="B45" s="191">
        <v>-128</v>
      </c>
      <c r="C45" s="191">
        <v>-1</v>
      </c>
      <c r="D45" s="191">
        <v>7</v>
      </c>
      <c r="E45" s="192">
        <v>-660</v>
      </c>
      <c r="F45" s="191">
        <v>403</v>
      </c>
      <c r="G45" s="191">
        <v>282</v>
      </c>
      <c r="H45" s="204" t="s">
        <v>339</v>
      </c>
      <c r="I45" s="199">
        <v>-749.56700000000023</v>
      </c>
      <c r="J45" s="199">
        <f>I45*1.02</f>
        <v>-764.55834000000027</v>
      </c>
      <c r="K45" s="199">
        <f t="shared" ref="K45:R45" si="29">J45*1.02</f>
        <v>-779.84950680000031</v>
      </c>
      <c r="L45" s="199">
        <f t="shared" si="29"/>
        <v>-795.44649693600036</v>
      </c>
      <c r="M45" s="199">
        <f t="shared" si="29"/>
        <v>-811.35542687472037</v>
      </c>
      <c r="N45" s="199">
        <f t="shared" si="29"/>
        <v>-827.58253541221484</v>
      </c>
      <c r="O45" s="199">
        <f t="shared" si="29"/>
        <v>-844.13418612045916</v>
      </c>
      <c r="P45" s="199">
        <f t="shared" si="29"/>
        <v>-861.01686984286835</v>
      </c>
      <c r="Q45" s="199">
        <f t="shared" si="29"/>
        <v>-878.23720723972576</v>
      </c>
      <c r="R45" s="199">
        <f t="shared" si="29"/>
        <v>-895.80195138452029</v>
      </c>
    </row>
    <row r="46" spans="1:39" ht="15.75">
      <c r="A46" s="175" t="s">
        <v>340</v>
      </c>
      <c r="B46" s="191" t="s">
        <v>100</v>
      </c>
      <c r="C46" s="191" t="s">
        <v>100</v>
      </c>
      <c r="D46" s="191" t="s">
        <v>100</v>
      </c>
      <c r="E46" s="192" t="s">
        <v>100</v>
      </c>
      <c r="F46" s="191" t="s">
        <v>100</v>
      </c>
      <c r="G46" s="191" t="s">
        <v>100</v>
      </c>
      <c r="H46" s="206" t="s">
        <v>107</v>
      </c>
      <c r="I46" s="193">
        <f>SUM(I42:I45)</f>
        <v>3354.6282586135121</v>
      </c>
      <c r="J46" s="193">
        <f t="shared" ref="J46:R46" si="30">SUM(J42:J45)</f>
        <v>4793.1115467164591</v>
      </c>
      <c r="K46" s="193">
        <f t="shared" si="30"/>
        <v>6555.2122108537706</v>
      </c>
      <c r="L46" s="193">
        <f t="shared" si="30"/>
        <v>8699.1462953066202</v>
      </c>
      <c r="M46" s="193">
        <f t="shared" si="30"/>
        <v>11027.100275096724</v>
      </c>
      <c r="N46" s="193">
        <f t="shared" si="30"/>
        <v>13695.871624920555</v>
      </c>
      <c r="O46" s="193">
        <f t="shared" si="30"/>
        <v>16766.113109373469</v>
      </c>
      <c r="P46" s="193">
        <f t="shared" si="30"/>
        <v>20313.362410829974</v>
      </c>
      <c r="Q46" s="193">
        <f t="shared" si="30"/>
        <v>-17537.965207239726</v>
      </c>
      <c r="R46" s="193">
        <f t="shared" si="30"/>
        <v>-17555.52995138452</v>
      </c>
    </row>
    <row r="47" spans="1:39">
      <c r="A47" s="189" t="s">
        <v>341</v>
      </c>
      <c r="B47" s="194">
        <v>485.32100000000003</v>
      </c>
      <c r="C47" s="194">
        <v>1226.4580000000001</v>
      </c>
      <c r="D47" s="194">
        <v>2062.2310000000002</v>
      </c>
      <c r="E47" s="195">
        <v>3199.3490000000002</v>
      </c>
      <c r="F47" s="194">
        <v>5840.1030000000001</v>
      </c>
      <c r="G47" s="194">
        <v>5263.9290000000001</v>
      </c>
    </row>
    <row r="48" spans="1:39">
      <c r="A48" s="175"/>
      <c r="B48" s="175"/>
      <c r="C48" s="175"/>
      <c r="D48" s="175"/>
      <c r="E48" s="190"/>
      <c r="F48" s="175"/>
      <c r="G48" s="175"/>
    </row>
    <row r="49" spans="1:21">
      <c r="A49" s="175" t="s">
        <v>342</v>
      </c>
      <c r="B49" s="191" t="s">
        <v>100</v>
      </c>
      <c r="C49" s="191" t="s">
        <v>100</v>
      </c>
      <c r="D49" s="191" t="s">
        <v>100</v>
      </c>
      <c r="E49" s="192" t="s">
        <v>100</v>
      </c>
      <c r="F49" s="191" t="s">
        <v>100</v>
      </c>
      <c r="G49" s="191" t="s">
        <v>100</v>
      </c>
    </row>
    <row r="50" spans="1:21">
      <c r="A50" s="175" t="s">
        <v>343</v>
      </c>
      <c r="B50" s="191" t="s">
        <v>100</v>
      </c>
      <c r="C50" s="191" t="s">
        <v>100</v>
      </c>
      <c r="D50" s="191" t="s">
        <v>100</v>
      </c>
      <c r="E50" s="192" t="s">
        <v>100</v>
      </c>
      <c r="F50" s="191" t="s">
        <v>100</v>
      </c>
      <c r="G50" s="191" t="s">
        <v>100</v>
      </c>
    </row>
    <row r="51" spans="1:21">
      <c r="A51" s="189" t="s">
        <v>344</v>
      </c>
      <c r="B51" s="194">
        <v>485.32100000000003</v>
      </c>
      <c r="C51" s="194">
        <v>1226.4580000000001</v>
      </c>
      <c r="D51" s="194">
        <v>2062.2310000000002</v>
      </c>
      <c r="E51" s="195">
        <v>3199.3490000000002</v>
      </c>
      <c r="F51" s="194">
        <v>5840.1030000000001</v>
      </c>
      <c r="G51" s="194">
        <v>5263.9290000000001</v>
      </c>
      <c r="H51" s="207" t="s">
        <v>345</v>
      </c>
    </row>
    <row r="52" spans="1:21">
      <c r="A52" s="175"/>
      <c r="B52" s="175"/>
      <c r="C52" s="175"/>
      <c r="D52" s="175"/>
      <c r="E52" s="190"/>
      <c r="F52" s="175"/>
      <c r="G52" s="175"/>
    </row>
    <row r="53" spans="1:21">
      <c r="A53" s="175" t="s">
        <v>346</v>
      </c>
      <c r="B53" s="191">
        <v>-73.599999999999994</v>
      </c>
      <c r="C53" s="191">
        <v>15.215999999999999</v>
      </c>
      <c r="D53" s="191">
        <v>195.315</v>
      </c>
      <c r="E53" s="192">
        <v>437.95400000000001</v>
      </c>
      <c r="F53" s="191">
        <v>723.875</v>
      </c>
      <c r="G53" s="191">
        <v>772.005</v>
      </c>
    </row>
    <row r="54" spans="1:21">
      <c r="A54" s="189" t="s">
        <v>347</v>
      </c>
      <c r="B54" s="194">
        <v>558.92899999999997</v>
      </c>
      <c r="C54" s="194">
        <v>1211.242</v>
      </c>
      <c r="D54" s="194">
        <v>1866.9159999999999</v>
      </c>
      <c r="E54" s="195">
        <v>2761.395</v>
      </c>
      <c r="F54" s="194">
        <v>5116.2280000000001</v>
      </c>
      <c r="G54" s="194">
        <v>4491.924</v>
      </c>
    </row>
    <row r="55" spans="1:21">
      <c r="A55" s="175"/>
      <c r="B55" s="175"/>
      <c r="C55" s="175"/>
      <c r="D55" s="175"/>
      <c r="E55" s="190"/>
      <c r="F55" s="175"/>
      <c r="G55" s="175"/>
    </row>
    <row r="56" spans="1:21">
      <c r="A56" s="175" t="s">
        <v>348</v>
      </c>
      <c r="B56" s="191" t="s">
        <v>100</v>
      </c>
      <c r="C56" s="191" t="s">
        <v>100</v>
      </c>
      <c r="D56" s="191" t="s">
        <v>100</v>
      </c>
      <c r="E56" s="192" t="s">
        <v>100</v>
      </c>
      <c r="F56" s="191" t="s">
        <v>100</v>
      </c>
      <c r="G56" s="191" t="s">
        <v>100</v>
      </c>
    </row>
    <row r="57" spans="1:21">
      <c r="A57" s="175" t="s">
        <v>349</v>
      </c>
      <c r="B57" s="191" t="s">
        <v>100</v>
      </c>
      <c r="C57" s="191" t="s">
        <v>100</v>
      </c>
      <c r="D57" s="191" t="s">
        <v>100</v>
      </c>
      <c r="E57" s="192" t="s">
        <v>100</v>
      </c>
      <c r="F57" s="191" t="s">
        <v>100</v>
      </c>
      <c r="G57" s="191" t="s">
        <v>100</v>
      </c>
    </row>
    <row r="58" spans="1:21">
      <c r="A58" s="189" t="s">
        <v>350</v>
      </c>
      <c r="B58" s="194">
        <v>558.92899999999997</v>
      </c>
      <c r="C58" s="194">
        <v>1211.242</v>
      </c>
      <c r="D58" s="194">
        <v>1866.9159999999999</v>
      </c>
      <c r="E58" s="195">
        <v>2761.395</v>
      </c>
      <c r="F58" s="194">
        <v>5116.2280000000001</v>
      </c>
      <c r="G58" s="194">
        <v>4491.924</v>
      </c>
    </row>
    <row r="59" spans="1:21">
      <c r="A59" s="175"/>
      <c r="B59" s="175"/>
      <c r="C59" s="175"/>
      <c r="D59" s="175"/>
      <c r="E59" s="190"/>
      <c r="F59" s="175"/>
      <c r="G59" s="175"/>
    </row>
    <row r="60" spans="1:21">
      <c r="A60" s="175" t="s">
        <v>351</v>
      </c>
      <c r="B60" s="191" t="s">
        <v>100</v>
      </c>
      <c r="C60" s="191" t="s">
        <v>100</v>
      </c>
      <c r="D60" s="191" t="s">
        <v>100</v>
      </c>
      <c r="E60" s="192" t="s">
        <v>100</v>
      </c>
      <c r="F60" s="191" t="s">
        <v>100</v>
      </c>
      <c r="G60" s="191" t="s">
        <v>100</v>
      </c>
      <c r="I60" s="193">
        <f>I22*(((1+0.02)^I13)*($H$61))</f>
        <v>3657.2105635718435</v>
      </c>
      <c r="J60" s="193">
        <f t="shared" ref="J60:R60" si="31">J22*(((1+0.02)^J13)*($H$61))</f>
        <v>3991.4796090823097</v>
      </c>
      <c r="K60" s="193">
        <f t="shared" si="31"/>
        <v>4397.0139373650718</v>
      </c>
      <c r="L60" s="193">
        <f t="shared" si="31"/>
        <v>4888.6000955624877</v>
      </c>
      <c r="M60" s="193">
        <f t="shared" si="31"/>
        <v>5433.2341171841445</v>
      </c>
      <c r="N60" s="193">
        <f t="shared" si="31"/>
        <v>6064.0369781829586</v>
      </c>
      <c r="O60" s="193">
        <f t="shared" si="31"/>
        <v>6797.5963547299307</v>
      </c>
      <c r="P60" s="193">
        <f t="shared" si="31"/>
        <v>7654.6483406647349</v>
      </c>
      <c r="Q60" s="193">
        <f t="shared" si="31"/>
        <v>0</v>
      </c>
      <c r="R60" s="193">
        <f t="shared" si="31"/>
        <v>0</v>
      </c>
    </row>
    <row r="61" spans="1:21">
      <c r="A61" s="189" t="s">
        <v>352</v>
      </c>
      <c r="B61" s="208">
        <v>558.92899999999997</v>
      </c>
      <c r="C61" s="208">
        <v>1211.242</v>
      </c>
      <c r="D61" s="208">
        <v>1866.9159999999999</v>
      </c>
      <c r="E61" s="209">
        <v>2761.395</v>
      </c>
      <c r="F61" s="208">
        <v>5116.2280000000001</v>
      </c>
      <c r="G61" s="208">
        <v>4491.924</v>
      </c>
      <c r="H61" s="198">
        <f>AVERAGE(B62:G62)</f>
        <v>0.10698999989112756</v>
      </c>
      <c r="S61" s="193"/>
      <c r="T61" s="193"/>
      <c r="U61" s="193"/>
    </row>
    <row r="62" spans="1:21">
      <c r="A62" s="175"/>
      <c r="B62" s="196">
        <f>B61/B22</f>
        <v>4.7801481144709529E-2</v>
      </c>
      <c r="C62" s="196">
        <f t="shared" ref="C62:F62" si="32">C61/C22</f>
        <v>7.6688353125970873E-2</v>
      </c>
      <c r="D62" s="196">
        <f t="shared" si="32"/>
        <v>9.262128389988572E-2</v>
      </c>
      <c r="E62" s="196">
        <f t="shared" si="32"/>
        <v>0.11047322825648974</v>
      </c>
      <c r="F62" s="196">
        <f t="shared" si="32"/>
        <v>0.17227607499049424</v>
      </c>
      <c r="G62" s="196">
        <f>G61/G22</f>
        <v>0.14207957792921522</v>
      </c>
    </row>
    <row r="63" spans="1:21">
      <c r="A63" s="175" t="s">
        <v>353</v>
      </c>
      <c r="B63" s="191" t="s">
        <v>100</v>
      </c>
      <c r="C63" s="191" t="s">
        <v>100</v>
      </c>
      <c r="D63" s="191" t="s">
        <v>100</v>
      </c>
      <c r="E63" s="192" t="s">
        <v>100</v>
      </c>
      <c r="F63" s="191" t="s">
        <v>100</v>
      </c>
      <c r="G63" s="191" t="s">
        <v>100</v>
      </c>
    </row>
    <row r="64" spans="1:21">
      <c r="A64" s="175" t="s">
        <v>354</v>
      </c>
      <c r="B64" s="191">
        <v>-173.3</v>
      </c>
      <c r="C64" s="191">
        <v>-173.9</v>
      </c>
      <c r="D64" s="191">
        <v>-253</v>
      </c>
      <c r="E64" s="192">
        <v>-497.9</v>
      </c>
      <c r="F64" s="191">
        <v>-524.6</v>
      </c>
      <c r="G64" s="191">
        <v>-407.7</v>
      </c>
    </row>
    <row r="65" spans="1:8">
      <c r="A65" s="175"/>
      <c r="B65" s="200">
        <f>B64/B22</f>
        <v>-1.4821196757330828E-2</v>
      </c>
      <c r="C65" s="200">
        <f t="shared" ref="C65:G65" si="33">C64/C22</f>
        <v>-1.1010272603333055E-2</v>
      </c>
      <c r="D65" s="200">
        <f t="shared" si="33"/>
        <v>-1.2551815307529149E-2</v>
      </c>
      <c r="E65" s="200">
        <f t="shared" si="33"/>
        <v>-1.991914244391195E-2</v>
      </c>
      <c r="F65" s="200">
        <f t="shared" si="33"/>
        <v>-1.7664581981102736E-2</v>
      </c>
      <c r="G65" s="200">
        <f t="shared" si="33"/>
        <v>-1.2895552979467382E-2</v>
      </c>
      <c r="H65" s="198">
        <f>AVERAGE(B65:G65)</f>
        <v>-1.4810427012112519E-2</v>
      </c>
    </row>
    <row r="66" spans="1:8">
      <c r="A66" s="189" t="s">
        <v>355</v>
      </c>
      <c r="B66" s="202">
        <v>558.92899999999997</v>
      </c>
      <c r="C66" s="202">
        <v>1211.242</v>
      </c>
      <c r="D66" s="202">
        <v>1866.9159999999999</v>
      </c>
      <c r="E66" s="203">
        <v>2761.395</v>
      </c>
      <c r="F66" s="202">
        <v>5116.2280000000001</v>
      </c>
      <c r="G66" s="202">
        <v>4491.924</v>
      </c>
    </row>
    <row r="67" spans="1:8">
      <c r="A67" s="189" t="s">
        <v>356</v>
      </c>
      <c r="B67" s="202">
        <v>558.92899999999997</v>
      </c>
      <c r="C67" s="202">
        <v>1211.242</v>
      </c>
      <c r="D67" s="202">
        <v>1866.9159999999999</v>
      </c>
      <c r="E67" s="203">
        <v>2761.395</v>
      </c>
      <c r="F67" s="202">
        <v>5116.2280000000001</v>
      </c>
      <c r="G67" s="202">
        <v>4491.924</v>
      </c>
    </row>
    <row r="68" spans="1:8">
      <c r="A68" s="175"/>
      <c r="B68" s="175"/>
      <c r="C68" s="175"/>
      <c r="D68" s="175"/>
      <c r="E68" s="190"/>
      <c r="F68" s="175"/>
      <c r="G68" s="175"/>
    </row>
    <row r="69" spans="1:8">
      <c r="A69" s="189" t="s">
        <v>357</v>
      </c>
      <c r="B69" s="175"/>
      <c r="C69" s="175"/>
      <c r="D69" s="175"/>
      <c r="E69" s="190"/>
      <c r="F69" s="175"/>
      <c r="G69" s="175"/>
    </row>
    <row r="70" spans="1:8">
      <c r="A70" s="175" t="s">
        <v>358</v>
      </c>
      <c r="B70" s="210">
        <v>1.29</v>
      </c>
      <c r="C70" s="210">
        <v>2.78</v>
      </c>
      <c r="D70" s="210">
        <v>4.26</v>
      </c>
      <c r="E70" s="211">
        <v>6.26</v>
      </c>
      <c r="F70" s="210">
        <v>11.55</v>
      </c>
      <c r="G70" s="210">
        <v>10.1</v>
      </c>
    </row>
    <row r="71" spans="1:8">
      <c r="A71" s="175" t="s">
        <v>359</v>
      </c>
      <c r="B71" s="212">
        <v>1.2941609999999999</v>
      </c>
      <c r="C71" s="212">
        <v>2.7820719999999999</v>
      </c>
      <c r="D71" s="212">
        <v>4.2643219999999999</v>
      </c>
      <c r="E71" s="213">
        <v>6.2627740000000003</v>
      </c>
      <c r="F71" s="212">
        <v>11.545007</v>
      </c>
      <c r="G71" s="212">
        <v>10.101065999999999</v>
      </c>
    </row>
    <row r="72" spans="1:8">
      <c r="A72" s="175" t="s">
        <v>360</v>
      </c>
      <c r="B72" s="191">
        <v>431.88499999999999</v>
      </c>
      <c r="C72" s="191">
        <v>435.37400000000002</v>
      </c>
      <c r="D72" s="191">
        <v>437.79899999999998</v>
      </c>
      <c r="E72" s="192">
        <v>440.92200000000003</v>
      </c>
      <c r="F72" s="191">
        <v>443.15499999999997</v>
      </c>
      <c r="G72" s="191">
        <v>444.69799999999998</v>
      </c>
    </row>
    <row r="73" spans="1:8">
      <c r="A73" s="175"/>
      <c r="B73" s="175"/>
      <c r="C73" s="175"/>
      <c r="D73" s="175"/>
      <c r="E73" s="190"/>
      <c r="F73" s="175"/>
      <c r="G73" s="175"/>
    </row>
    <row r="74" spans="1:8">
      <c r="A74" s="175" t="s">
        <v>361</v>
      </c>
      <c r="B74" s="210">
        <v>1.25</v>
      </c>
      <c r="C74" s="210">
        <v>2.68</v>
      </c>
      <c r="D74" s="210">
        <v>4.13</v>
      </c>
      <c r="E74" s="211">
        <v>6.08</v>
      </c>
      <c r="F74" s="210">
        <v>11.24</v>
      </c>
      <c r="G74" s="210">
        <v>9.9499999999999993</v>
      </c>
    </row>
    <row r="75" spans="1:8">
      <c r="A75" s="175" t="s">
        <v>362</v>
      </c>
      <c r="B75" s="212">
        <v>1.25</v>
      </c>
      <c r="C75" s="212">
        <v>2.68</v>
      </c>
      <c r="D75" s="212">
        <v>4.13</v>
      </c>
      <c r="E75" s="213">
        <v>6.08</v>
      </c>
      <c r="F75" s="212">
        <v>11.24</v>
      </c>
      <c r="G75" s="212">
        <v>9.9499999999999993</v>
      </c>
    </row>
    <row r="76" spans="1:8">
      <c r="A76" s="175" t="s">
        <v>363</v>
      </c>
      <c r="B76" s="191">
        <v>446.81400000000002</v>
      </c>
      <c r="C76" s="191">
        <v>451.24400000000003</v>
      </c>
      <c r="D76" s="191">
        <v>451.76499999999999</v>
      </c>
      <c r="E76" s="192">
        <v>454.20800000000003</v>
      </c>
      <c r="F76" s="191">
        <v>455.37200000000001</v>
      </c>
      <c r="G76" s="191">
        <v>451.29</v>
      </c>
    </row>
    <row r="77" spans="1:8">
      <c r="A77" s="175"/>
      <c r="B77" s="175"/>
      <c r="C77" s="175"/>
      <c r="D77" s="175"/>
      <c r="E77" s="190"/>
      <c r="F77" s="175"/>
      <c r="G77" s="175"/>
    </row>
    <row r="78" spans="1:8">
      <c r="A78" s="175" t="s">
        <v>364</v>
      </c>
      <c r="B78" s="210">
        <v>0.7</v>
      </c>
      <c r="C78" s="210">
        <v>1.76</v>
      </c>
      <c r="D78" s="210">
        <v>2.94</v>
      </c>
      <c r="E78" s="211">
        <v>4.54</v>
      </c>
      <c r="F78" s="210">
        <v>8.24</v>
      </c>
      <c r="G78" s="210">
        <v>7.4</v>
      </c>
    </row>
    <row r="79" spans="1:8">
      <c r="A79" s="175" t="s">
        <v>365</v>
      </c>
      <c r="B79" s="212">
        <v>0.67886299999999999</v>
      </c>
      <c r="C79" s="212">
        <v>1.698717</v>
      </c>
      <c r="D79" s="212">
        <v>2.8530190000000002</v>
      </c>
      <c r="E79" s="213">
        <v>4.4023729999999999</v>
      </c>
      <c r="F79" s="212">
        <v>8.0155659999999997</v>
      </c>
      <c r="G79" s="212">
        <v>7.290114</v>
      </c>
    </row>
    <row r="80" spans="1:8">
      <c r="A80" s="175"/>
      <c r="B80" s="175"/>
      <c r="C80" s="175"/>
      <c r="D80" s="175"/>
      <c r="E80" s="190"/>
      <c r="F80" s="175"/>
      <c r="G80" s="175"/>
    </row>
    <row r="81" spans="1:20">
      <c r="A81" s="175" t="s">
        <v>366</v>
      </c>
      <c r="B81" s="212" t="s">
        <v>367</v>
      </c>
      <c r="C81" s="212" t="s">
        <v>367</v>
      </c>
      <c r="D81" s="212" t="s">
        <v>367</v>
      </c>
      <c r="E81" s="213" t="s">
        <v>367</v>
      </c>
      <c r="F81" s="212" t="s">
        <v>367</v>
      </c>
      <c r="G81" s="212" t="s">
        <v>367</v>
      </c>
    </row>
    <row r="82" spans="1:20">
      <c r="A82" s="175"/>
      <c r="B82" s="175"/>
      <c r="C82" s="175"/>
      <c r="D82" s="175"/>
      <c r="E82" s="190"/>
      <c r="F82" s="175"/>
      <c r="G82" s="175"/>
    </row>
    <row r="83" spans="1:20">
      <c r="A83" s="175" t="s">
        <v>368</v>
      </c>
      <c r="B83" s="214">
        <v>0.02</v>
      </c>
      <c r="C83" s="214">
        <v>0.02</v>
      </c>
      <c r="D83" s="214">
        <v>0.02</v>
      </c>
      <c r="E83" s="215">
        <v>0.02</v>
      </c>
      <c r="F83" s="214">
        <v>0.02</v>
      </c>
      <c r="G83" s="214">
        <v>0.02</v>
      </c>
    </row>
    <row r="84" spans="1:20">
      <c r="A84" s="175"/>
      <c r="B84" s="175"/>
      <c r="C84" s="175"/>
      <c r="D84" s="175"/>
      <c r="E84" s="190"/>
      <c r="F84" s="175"/>
      <c r="G84" s="175"/>
    </row>
    <row r="85" spans="1:20">
      <c r="A85" s="189" t="s">
        <v>369</v>
      </c>
      <c r="B85" s="175"/>
      <c r="C85" s="175"/>
      <c r="D85" s="175"/>
      <c r="E85" s="190"/>
      <c r="F85" s="175"/>
      <c r="G85" s="175"/>
      <c r="I85" s="193">
        <f t="shared" ref="I85:R85" si="34">I86*I22</f>
        <v>5193.5138352587555</v>
      </c>
      <c r="J85" s="193">
        <f t="shared" si="34"/>
        <v>5668.2009998014064</v>
      </c>
      <c r="K85" s="193">
        <f t="shared" si="34"/>
        <v>6244.0902213812278</v>
      </c>
      <c r="L85" s="193">
        <f t="shared" si="34"/>
        <v>6942.1795081316504</v>
      </c>
      <c r="M85" s="193">
        <f t="shared" si="34"/>
        <v>7715.6007474277958</v>
      </c>
      <c r="N85" s="193">
        <f t="shared" si="34"/>
        <v>8611.3882141244176</v>
      </c>
      <c r="O85" s="193">
        <f t="shared" si="34"/>
        <v>9653.0976549283041</v>
      </c>
      <c r="P85" s="193">
        <f t="shared" si="34"/>
        <v>10870.175881384366</v>
      </c>
      <c r="Q85" s="193">
        <f t="shared" si="34"/>
        <v>0</v>
      </c>
      <c r="R85" s="193">
        <f t="shared" si="34"/>
        <v>0</v>
      </c>
    </row>
    <row r="86" spans="1:20">
      <c r="A86" s="175" t="s">
        <v>47</v>
      </c>
      <c r="B86" s="191">
        <v>910.59</v>
      </c>
      <c r="C86" s="191">
        <v>1688.383</v>
      </c>
      <c r="D86" s="191">
        <v>2707.8330000000001</v>
      </c>
      <c r="E86" s="192">
        <v>4700.9989999999998</v>
      </c>
      <c r="F86" s="191">
        <v>6402.9210000000003</v>
      </c>
      <c r="G86" s="191">
        <v>5969.5129999999999</v>
      </c>
      <c r="H86" s="198">
        <f>AVERAGE(B87:G87)</f>
        <v>0.15193384001554996</v>
      </c>
      <c r="I86" s="216">
        <f>H86*1.02</f>
        <v>0.15497251681586097</v>
      </c>
      <c r="J86" s="216">
        <f t="shared" ref="J86:T87" si="35">I86*1.02</f>
        <v>0.15807196715217819</v>
      </c>
      <c r="K86" s="216">
        <f t="shared" si="35"/>
        <v>0.16123340649522175</v>
      </c>
      <c r="L86" s="216">
        <f t="shared" si="35"/>
        <v>0.16445807462512618</v>
      </c>
      <c r="M86" s="216">
        <f t="shared" si="35"/>
        <v>0.16774723611762871</v>
      </c>
      <c r="N86" s="216">
        <f t="shared" si="35"/>
        <v>0.17110218083998127</v>
      </c>
      <c r="O86" s="216">
        <f t="shared" si="35"/>
        <v>0.1745242244567809</v>
      </c>
      <c r="P86" s="216">
        <f t="shared" si="35"/>
        <v>0.17801470894591651</v>
      </c>
      <c r="Q86" s="216">
        <f t="shared" si="35"/>
        <v>0.18157500312483485</v>
      </c>
      <c r="R86" s="216">
        <f t="shared" si="35"/>
        <v>0.18520650318733156</v>
      </c>
      <c r="S86" s="193">
        <f t="shared" ref="S86:T86" si="36">S87*S22</f>
        <v>0</v>
      </c>
      <c r="T86" s="193">
        <f t="shared" si="36"/>
        <v>0</v>
      </c>
    </row>
    <row r="87" spans="1:20">
      <c r="A87" s="175"/>
      <c r="B87" s="200">
        <f>B86/B22</f>
        <v>7.7876708339629994E-2</v>
      </c>
      <c r="C87" s="200">
        <f t="shared" ref="C87:G87" si="37">C86/C22</f>
        <v>0.10689797060858697</v>
      </c>
      <c r="D87" s="200">
        <f t="shared" si="37"/>
        <v>0.13434078932661098</v>
      </c>
      <c r="E87" s="201">
        <f t="shared" si="37"/>
        <v>0.18806962986480746</v>
      </c>
      <c r="F87" s="200">
        <f t="shared" si="37"/>
        <v>0.21560221678045047</v>
      </c>
      <c r="G87" s="200">
        <f t="shared" si="37"/>
        <v>0.18881572517321382</v>
      </c>
      <c r="H87" s="198"/>
      <c r="I87" s="193"/>
      <c r="S87" s="216">
        <f>R86*1.02</f>
        <v>0.18891063325107821</v>
      </c>
      <c r="T87" s="216">
        <f t="shared" si="35"/>
        <v>0.19268884591609978</v>
      </c>
    </row>
    <row r="88" spans="1:20">
      <c r="A88" s="175" t="s">
        <v>370</v>
      </c>
      <c r="B88" s="191">
        <v>838.67899999999997</v>
      </c>
      <c r="C88" s="191">
        <v>1605.2260000000001</v>
      </c>
      <c r="D88" s="191">
        <v>2604.2539999999999</v>
      </c>
      <c r="E88" s="192">
        <v>4585.2889999999998</v>
      </c>
      <c r="F88" s="191">
        <v>6194.509</v>
      </c>
      <c r="G88" s="191">
        <v>5632.8310000000001</v>
      </c>
      <c r="H88" s="198"/>
      <c r="I88" s="193">
        <f t="shared" ref="I88:R88" si="38">I22*I89</f>
        <v>4972.18097365619</v>
      </c>
      <c r="J88" s="193">
        <f t="shared" si="38"/>
        <v>5426.6383146483658</v>
      </c>
      <c r="K88" s="193">
        <f t="shared" si="38"/>
        <v>5977.9847674166394</v>
      </c>
      <c r="L88" s="193">
        <f t="shared" si="38"/>
        <v>6646.3234644138211</v>
      </c>
      <c r="M88" s="193">
        <f t="shared" si="38"/>
        <v>7386.7836793346296</v>
      </c>
      <c r="N88" s="193">
        <f t="shared" si="38"/>
        <v>8244.3952193502373</v>
      </c>
      <c r="O88" s="193">
        <f t="shared" si="38"/>
        <v>9241.7099519074218</v>
      </c>
      <c r="P88" s="193">
        <f t="shared" si="38"/>
        <v>10406.919748779861</v>
      </c>
      <c r="Q88" s="193">
        <f t="shared" si="38"/>
        <v>0</v>
      </c>
      <c r="R88" s="193">
        <f t="shared" si="38"/>
        <v>0</v>
      </c>
    </row>
    <row r="89" spans="1:20">
      <c r="A89" s="175" t="s">
        <v>92</v>
      </c>
      <c r="B89" s="191">
        <v>838.67899999999997</v>
      </c>
      <c r="C89" s="191">
        <v>1605.2260000000001</v>
      </c>
      <c r="D89" s="191">
        <v>2604.2539999999999</v>
      </c>
      <c r="E89" s="192">
        <v>4585.2889999999998</v>
      </c>
      <c r="F89" s="191">
        <v>6194.509</v>
      </c>
      <c r="G89" s="191">
        <v>5632.8310000000001</v>
      </c>
      <c r="H89" s="198">
        <f>AVERAGE(B90:G90)</f>
        <v>0.14545884973890758</v>
      </c>
      <c r="I89" s="216">
        <f>H89*1.02</f>
        <v>0.14836802673368574</v>
      </c>
      <c r="J89" s="216">
        <f t="shared" ref="J89:T90" si="39">I89*1.02</f>
        <v>0.15133538726835946</v>
      </c>
      <c r="K89" s="216">
        <f t="shared" si="39"/>
        <v>0.15436209501372666</v>
      </c>
      <c r="L89" s="216">
        <f t="shared" si="39"/>
        <v>0.1574493369140012</v>
      </c>
      <c r="M89" s="216">
        <f t="shared" si="39"/>
        <v>0.16059832365228124</v>
      </c>
      <c r="N89" s="216">
        <f t="shared" si="39"/>
        <v>0.16381029012532689</v>
      </c>
      <c r="O89" s="216">
        <f t="shared" si="39"/>
        <v>0.16708649592783342</v>
      </c>
      <c r="P89" s="216">
        <f t="shared" si="39"/>
        <v>0.17042822584639009</v>
      </c>
      <c r="Q89" s="216">
        <f t="shared" si="39"/>
        <v>0.17383679036331789</v>
      </c>
      <c r="R89" s="216">
        <f t="shared" si="39"/>
        <v>0.17731352617058427</v>
      </c>
    </row>
    <row r="90" spans="1:20">
      <c r="A90" s="175"/>
      <c r="B90" s="200">
        <f>B89/B22</f>
        <v>7.1726638633822615E-2</v>
      </c>
      <c r="C90" s="200">
        <f t="shared" ref="C90:G90" si="40">C89/C22</f>
        <v>0.10163298361102879</v>
      </c>
      <c r="D90" s="200">
        <f t="shared" si="40"/>
        <v>0.12920203645017397</v>
      </c>
      <c r="E90" s="201">
        <f t="shared" si="40"/>
        <v>0.18344049957321265</v>
      </c>
      <c r="F90" s="200">
        <f t="shared" si="40"/>
        <v>0.20858446828665406</v>
      </c>
      <c r="G90" s="200">
        <f t="shared" si="40"/>
        <v>0.17816647187855345</v>
      </c>
      <c r="S90" s="216">
        <f>R89*1.02</f>
        <v>0.18085979669399596</v>
      </c>
      <c r="T90" s="216">
        <f t="shared" si="39"/>
        <v>0.1844769926278759</v>
      </c>
    </row>
    <row r="91" spans="1:20">
      <c r="A91" s="175" t="s">
        <v>371</v>
      </c>
      <c r="B91" s="191">
        <v>985.59</v>
      </c>
      <c r="C91" s="191">
        <v>1795.383</v>
      </c>
      <c r="D91" s="191">
        <v>3155.7220000000002</v>
      </c>
      <c r="E91" s="192">
        <v>5141.51</v>
      </c>
      <c r="F91" s="191">
        <v>6945.491</v>
      </c>
      <c r="G91" s="191">
        <v>6577.9409999999998</v>
      </c>
    </row>
    <row r="92" spans="1:20">
      <c r="A92" s="175" t="s">
        <v>372</v>
      </c>
      <c r="B92" s="217" t="s">
        <v>373</v>
      </c>
      <c r="C92" s="217">
        <v>1.2406E-2</v>
      </c>
      <c r="D92" s="217">
        <v>9.4710000000000003E-2</v>
      </c>
      <c r="E92" s="218">
        <v>0.13688800000000001</v>
      </c>
      <c r="F92" s="217">
        <v>0.123949</v>
      </c>
      <c r="G92" s="217">
        <v>0.14665900000000001</v>
      </c>
    </row>
    <row r="93" spans="1:20">
      <c r="A93" s="175" t="s">
        <v>374</v>
      </c>
      <c r="B93" s="191">
        <v>46.643999999999998</v>
      </c>
      <c r="C93" s="191">
        <v>-32.4</v>
      </c>
      <c r="D93" s="191">
        <v>66.725999999999999</v>
      </c>
      <c r="E93" s="192">
        <v>90.042000000000002</v>
      </c>
      <c r="F93" s="191">
        <v>167.167</v>
      </c>
      <c r="G93" s="191">
        <v>229.70500000000001</v>
      </c>
    </row>
    <row r="94" spans="1:20">
      <c r="A94" s="175" t="s">
        <v>375</v>
      </c>
      <c r="B94" s="191">
        <v>88.436000000000007</v>
      </c>
      <c r="C94" s="191">
        <v>133.14599999999999</v>
      </c>
      <c r="D94" s="191">
        <v>223.328</v>
      </c>
      <c r="E94" s="192">
        <v>277.846</v>
      </c>
      <c r="F94" s="191">
        <v>357.18900000000002</v>
      </c>
      <c r="G94" s="191">
        <v>676.827</v>
      </c>
    </row>
    <row r="95" spans="1:20">
      <c r="A95" s="175" t="s">
        <v>376</v>
      </c>
      <c r="B95" s="191">
        <v>135.08000000000001</v>
      </c>
      <c r="C95" s="191">
        <v>100.736</v>
      </c>
      <c r="D95" s="191">
        <v>290.05399999999997</v>
      </c>
      <c r="E95" s="192">
        <v>367.88799999999998</v>
      </c>
      <c r="F95" s="191">
        <v>524.35599999999999</v>
      </c>
      <c r="G95" s="191">
        <v>906.53200000000004</v>
      </c>
    </row>
    <row r="96" spans="1:20">
      <c r="A96" s="175" t="s">
        <v>377</v>
      </c>
      <c r="B96" s="191">
        <v>-206.7</v>
      </c>
      <c r="C96" s="191">
        <v>-89.8</v>
      </c>
      <c r="D96" s="191">
        <v>-82.5</v>
      </c>
      <c r="E96" s="192">
        <v>106.92</v>
      </c>
      <c r="F96" s="191">
        <v>186.23699999999999</v>
      </c>
      <c r="G96" s="191">
        <v>-83.1</v>
      </c>
    </row>
    <row r="97" spans="1:7">
      <c r="A97" s="175" t="s">
        <v>378</v>
      </c>
      <c r="B97" s="191">
        <v>-2</v>
      </c>
      <c r="C97" s="191">
        <v>4.2670000000000003</v>
      </c>
      <c r="D97" s="191">
        <v>-12.2</v>
      </c>
      <c r="E97" s="192">
        <v>-36.9</v>
      </c>
      <c r="F97" s="191">
        <v>13.282</v>
      </c>
      <c r="G97" s="191">
        <v>-51.4</v>
      </c>
    </row>
    <row r="98" spans="1:7">
      <c r="A98" s="175" t="s">
        <v>379</v>
      </c>
      <c r="B98" s="191">
        <v>-208.7</v>
      </c>
      <c r="C98" s="191">
        <v>-85.5</v>
      </c>
      <c r="D98" s="191">
        <v>-94.7</v>
      </c>
      <c r="E98" s="192">
        <v>70.066000000000003</v>
      </c>
      <c r="F98" s="191">
        <v>199.51900000000001</v>
      </c>
      <c r="G98" s="191">
        <v>-134.5</v>
      </c>
    </row>
    <row r="99" spans="1:7">
      <c r="A99" s="175"/>
      <c r="B99" s="175"/>
      <c r="C99" s="175"/>
      <c r="D99" s="175"/>
      <c r="E99" s="190"/>
      <c r="F99" s="175"/>
      <c r="G99" s="175"/>
    </row>
    <row r="100" spans="1:7">
      <c r="A100" s="175" t="s">
        <v>380</v>
      </c>
      <c r="B100" s="191">
        <v>303.325625</v>
      </c>
      <c r="C100" s="191">
        <v>766.53625</v>
      </c>
      <c r="D100" s="191">
        <v>1288.8943750000001</v>
      </c>
      <c r="E100" s="192">
        <v>1999.5931250000001</v>
      </c>
      <c r="F100" s="191">
        <v>3650.0643749999999</v>
      </c>
      <c r="G100" s="191">
        <v>3289.9556250000001</v>
      </c>
    </row>
    <row r="101" spans="1:7">
      <c r="A101" s="175" t="s">
        <v>381</v>
      </c>
      <c r="B101" s="191" t="s">
        <v>367</v>
      </c>
      <c r="C101" s="191" t="s">
        <v>367</v>
      </c>
      <c r="D101" s="191" t="s">
        <v>367</v>
      </c>
      <c r="E101" s="192" t="s">
        <v>367</v>
      </c>
      <c r="F101" s="191" t="s">
        <v>367</v>
      </c>
      <c r="G101" s="191">
        <v>698</v>
      </c>
    </row>
    <row r="102" spans="1:7">
      <c r="A102" s="175" t="s">
        <v>382</v>
      </c>
      <c r="B102" s="219">
        <v>43859</v>
      </c>
      <c r="C102" s="219">
        <v>44224</v>
      </c>
      <c r="D102" s="219">
        <v>44588</v>
      </c>
      <c r="E102" s="220">
        <v>44588</v>
      </c>
      <c r="F102" s="219">
        <v>44952</v>
      </c>
      <c r="G102" s="219">
        <v>44952</v>
      </c>
    </row>
    <row r="103" spans="1:7">
      <c r="A103" s="175" t="s">
        <v>383</v>
      </c>
      <c r="B103" s="221" t="s">
        <v>384</v>
      </c>
      <c r="C103" s="221" t="s">
        <v>385</v>
      </c>
      <c r="D103" s="221" t="s">
        <v>385</v>
      </c>
      <c r="E103" s="222" t="s">
        <v>385</v>
      </c>
      <c r="F103" s="221" t="s">
        <v>385</v>
      </c>
      <c r="G103" s="221" t="s">
        <v>386</v>
      </c>
    </row>
    <row r="104" spans="1:7">
      <c r="A104" s="175" t="s">
        <v>387</v>
      </c>
      <c r="B104" s="221" t="s">
        <v>388</v>
      </c>
      <c r="C104" s="221" t="s">
        <v>388</v>
      </c>
      <c r="D104" s="221" t="s">
        <v>388</v>
      </c>
      <c r="E104" s="222" t="s">
        <v>388</v>
      </c>
      <c r="F104" s="221" t="s">
        <v>388</v>
      </c>
      <c r="G104" s="221" t="s">
        <v>388</v>
      </c>
    </row>
    <row r="105" spans="1:7">
      <c r="A105" s="175"/>
      <c r="B105" s="175"/>
      <c r="C105" s="175"/>
      <c r="D105" s="175"/>
      <c r="E105" s="190"/>
      <c r="F105" s="175"/>
      <c r="G105" s="175"/>
    </row>
    <row r="106" spans="1:7">
      <c r="A106" s="189" t="s">
        <v>389</v>
      </c>
      <c r="B106" s="175"/>
      <c r="C106" s="175"/>
      <c r="D106" s="175"/>
      <c r="E106" s="190"/>
      <c r="F106" s="175"/>
      <c r="G106" s="175"/>
    </row>
    <row r="107" spans="1:7">
      <c r="A107" s="175" t="s">
        <v>390</v>
      </c>
      <c r="B107" s="191">
        <v>1091</v>
      </c>
      <c r="C107" s="191">
        <v>1808</v>
      </c>
      <c r="D107" s="191">
        <v>1879</v>
      </c>
      <c r="E107" s="192">
        <v>1447</v>
      </c>
      <c r="F107" s="191">
        <v>1669</v>
      </c>
      <c r="G107" s="191">
        <v>1586</v>
      </c>
    </row>
    <row r="108" spans="1:7">
      <c r="A108" s="175" t="s">
        <v>391</v>
      </c>
      <c r="B108" s="191">
        <v>345.28100000000001</v>
      </c>
      <c r="C108" s="191">
        <v>561.46900000000005</v>
      </c>
      <c r="D108" s="191">
        <v>773.46199999999999</v>
      </c>
      <c r="E108" s="192">
        <v>781.36199999999997</v>
      </c>
      <c r="F108" s="191">
        <v>876.14599999999996</v>
      </c>
      <c r="G108" s="191">
        <v>944.50199999999995</v>
      </c>
    </row>
    <row r="109" spans="1:7">
      <c r="A109" s="175" t="s">
        <v>392</v>
      </c>
      <c r="B109" s="191">
        <v>1436.2809999999999</v>
      </c>
      <c r="C109" s="191">
        <v>2369.4690000000001</v>
      </c>
      <c r="D109" s="191">
        <v>2652.462</v>
      </c>
      <c r="E109" s="192">
        <v>2228.3620000000001</v>
      </c>
      <c r="F109" s="191">
        <v>2545.1460000000002</v>
      </c>
      <c r="G109" s="191">
        <v>2530.502</v>
      </c>
    </row>
    <row r="110" spans="1:7">
      <c r="A110" s="175" t="s">
        <v>393</v>
      </c>
      <c r="B110" s="191">
        <v>431.04300000000001</v>
      </c>
      <c r="C110" s="191">
        <v>630.29399999999998</v>
      </c>
      <c r="D110" s="191">
        <v>914.36900000000003</v>
      </c>
      <c r="E110" s="192">
        <v>1076.4860000000001</v>
      </c>
      <c r="F110" s="191">
        <v>1351.6210000000001</v>
      </c>
      <c r="G110" s="191">
        <v>1572.8910000000001</v>
      </c>
    </row>
    <row r="111" spans="1:7">
      <c r="A111" s="175" t="s">
        <v>394</v>
      </c>
      <c r="B111" s="191">
        <v>953.71</v>
      </c>
      <c r="C111" s="191">
        <v>1221.8140000000001</v>
      </c>
      <c r="D111" s="191">
        <v>1545.1489999999999</v>
      </c>
      <c r="E111" s="192">
        <v>1829.6</v>
      </c>
      <c r="F111" s="191">
        <v>2273.8850000000002</v>
      </c>
      <c r="G111" s="191">
        <v>2711.0410000000002</v>
      </c>
    </row>
    <row r="112" spans="1:7">
      <c r="A112" s="175" t="s">
        <v>395</v>
      </c>
      <c r="B112" s="191">
        <v>75</v>
      </c>
      <c r="C112" s="191">
        <v>107</v>
      </c>
      <c r="D112" s="191">
        <v>447.88900000000001</v>
      </c>
      <c r="E112" s="192">
        <v>440.51100000000002</v>
      </c>
      <c r="F112" s="191">
        <v>542.57000000000005</v>
      </c>
      <c r="G112" s="191">
        <v>608.428</v>
      </c>
    </row>
    <row r="113" spans="1:7">
      <c r="A113" s="175" t="s">
        <v>396</v>
      </c>
      <c r="B113" s="191">
        <v>28.9788</v>
      </c>
      <c r="C113" s="191">
        <v>42.698991999999997</v>
      </c>
      <c r="D113" s="191">
        <v>167.818634</v>
      </c>
      <c r="E113" s="192">
        <v>155.07044400000001</v>
      </c>
      <c r="F113" s="191">
        <v>181.457111</v>
      </c>
      <c r="G113" s="191">
        <v>196.15232</v>
      </c>
    </row>
    <row r="114" spans="1:7">
      <c r="A114" s="175" t="s">
        <v>397</v>
      </c>
      <c r="B114" s="191">
        <v>46.0212</v>
      </c>
      <c r="C114" s="191">
        <v>64.301007999999996</v>
      </c>
      <c r="D114" s="191">
        <v>280.07036599999998</v>
      </c>
      <c r="E114" s="192">
        <v>285.44055600000002</v>
      </c>
      <c r="F114" s="191">
        <v>361.112889</v>
      </c>
      <c r="G114" s="191">
        <v>412.27568000000002</v>
      </c>
    </row>
    <row r="115" spans="1:7">
      <c r="A115" s="175"/>
      <c r="B115" s="175"/>
      <c r="C115" s="175"/>
      <c r="D115" s="175"/>
      <c r="E115" s="190"/>
      <c r="F115" s="175"/>
      <c r="G115" s="175"/>
    </row>
    <row r="116" spans="1:7">
      <c r="A116" s="175" t="s">
        <v>398</v>
      </c>
      <c r="B116" s="191">
        <v>182.209</v>
      </c>
      <c r="C116" s="191">
        <v>320.65699999999998</v>
      </c>
      <c r="D116" s="191">
        <v>405.37599999999998</v>
      </c>
      <c r="E116" s="192">
        <v>415.18</v>
      </c>
      <c r="F116" s="191">
        <v>403.22</v>
      </c>
      <c r="G116" s="191">
        <v>575.452</v>
      </c>
    </row>
    <row r="117" spans="1:7">
      <c r="A117" s="189" t="s">
        <v>399</v>
      </c>
      <c r="B117" s="202">
        <v>182.209</v>
      </c>
      <c r="C117" s="202">
        <v>320.65699999999998</v>
      </c>
      <c r="D117" s="202">
        <v>405.37599999999998</v>
      </c>
      <c r="E117" s="203">
        <v>415.18</v>
      </c>
      <c r="F117" s="202">
        <v>403.22</v>
      </c>
      <c r="G117" s="202">
        <v>575.452</v>
      </c>
    </row>
    <row r="118" spans="1:7">
      <c r="A118" s="175"/>
      <c r="B118" s="175"/>
      <c r="C118" s="175"/>
      <c r="D118" s="175"/>
      <c r="E118" s="190"/>
      <c r="F118" s="175"/>
      <c r="G118" s="175"/>
    </row>
    <row r="119" spans="1:7">
      <c r="A119" s="223"/>
      <c r="B119" s="223"/>
      <c r="C119" s="223"/>
      <c r="D119" s="223"/>
      <c r="E119" s="224"/>
      <c r="F119" s="223"/>
      <c r="G119" s="223"/>
    </row>
    <row r="120" spans="1:7">
      <c r="A120" s="171" t="s">
        <v>400</v>
      </c>
    </row>
    <row r="121" spans="1:7">
      <c r="A121" s="225" t="s">
        <v>401</v>
      </c>
    </row>
  </sheetData>
  <pageMargins left="0.2" right="0.2" top="0.5" bottom="0.5" header="0.5" footer="0.5"/>
  <pageSetup fitToWidth="0" fitToHeight="0" orientation="landscape" horizontalDpi="0" verticalDpi="0"/>
  <headerFooter alignWithMargins="0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40B1-7875-4B06-BB27-A0DCA5708B5A}">
  <dimension ref="B2:J20"/>
  <sheetViews>
    <sheetView workbookViewId="0">
      <selection activeCell="F12" sqref="F12"/>
    </sheetView>
  </sheetViews>
  <sheetFormatPr defaultRowHeight="12.75"/>
  <cols>
    <col min="2" max="2" width="18.5703125" bestFit="1" customWidth="1"/>
    <col min="3" max="3" width="16.28515625" customWidth="1"/>
    <col min="4" max="4" width="11" bestFit="1" customWidth="1"/>
    <col min="5" max="5" width="18" customWidth="1"/>
    <col min="6" max="6" width="13" customWidth="1"/>
  </cols>
  <sheetData>
    <row r="2" spans="2:10" ht="12.4" customHeight="1">
      <c r="B2" s="249" t="s">
        <v>402</v>
      </c>
      <c r="C2" s="249" t="s">
        <v>403</v>
      </c>
      <c r="D2" s="249" t="s">
        <v>404</v>
      </c>
      <c r="E2" s="249" t="s">
        <v>405</v>
      </c>
      <c r="F2" s="249" t="s">
        <v>406</v>
      </c>
    </row>
    <row r="3" spans="2:10" ht="17.25" customHeight="1">
      <c r="B3" s="250" t="s">
        <v>407</v>
      </c>
      <c r="C3" s="250">
        <v>14.08</v>
      </c>
      <c r="D3" s="250">
        <v>9.74</v>
      </c>
      <c r="E3" s="250">
        <v>4.0599999999999996</v>
      </c>
      <c r="F3" s="250">
        <v>3.57</v>
      </c>
    </row>
    <row r="4" spans="2:10" ht="15">
      <c r="B4" s="251" t="s">
        <v>408</v>
      </c>
      <c r="C4" s="250">
        <v>15.86</v>
      </c>
      <c r="D4" s="250">
        <v>10.99</v>
      </c>
      <c r="E4" s="250">
        <v>8.48</v>
      </c>
      <c r="F4" s="250">
        <v>8.5</v>
      </c>
    </row>
    <row r="5" spans="2:10" ht="15">
      <c r="B5" s="251" t="s">
        <v>409</v>
      </c>
      <c r="C5" s="252">
        <v>0.02</v>
      </c>
      <c r="D5" s="253">
        <f>J20/100</f>
        <v>1.6898746383799422E-2</v>
      </c>
      <c r="E5" s="254">
        <v>2.4E-2</v>
      </c>
      <c r="F5" s="254">
        <v>4.4999999999999998E-2</v>
      </c>
    </row>
    <row r="9" spans="2:10">
      <c r="B9" t="s">
        <v>410</v>
      </c>
      <c r="C9" s="256">
        <f>SUMPRODUCT(C3:F3,C5:F5)/SUM(C3:F3)</f>
        <v>2.2393761201214831E-2</v>
      </c>
    </row>
    <row r="13" spans="2:10">
      <c r="I13" s="248" t="s">
        <v>411</v>
      </c>
    </row>
    <row r="15" spans="2:10">
      <c r="B15" t="s">
        <v>412</v>
      </c>
      <c r="C15" s="255">
        <f>C3/SUM(C3:F3)</f>
        <v>0.44769475357710653</v>
      </c>
    </row>
    <row r="16" spans="2:10">
      <c r="B16" t="s">
        <v>413</v>
      </c>
      <c r="C16" s="255">
        <f>SUM(D3:F3)/SUM(C3:F3)</f>
        <v>0.55230524642289358</v>
      </c>
      <c r="I16" t="s">
        <v>414</v>
      </c>
      <c r="J16" t="s">
        <v>415</v>
      </c>
    </row>
    <row r="17" spans="8:10">
      <c r="H17" t="s">
        <v>416</v>
      </c>
      <c r="I17">
        <v>25.4</v>
      </c>
      <c r="J17">
        <v>0.7</v>
      </c>
    </row>
    <row r="18" spans="8:10">
      <c r="H18" t="s">
        <v>417</v>
      </c>
      <c r="I18">
        <v>7.18</v>
      </c>
      <c r="J18">
        <v>2.7</v>
      </c>
    </row>
    <row r="19" spans="8:10">
      <c r="H19" t="s">
        <v>418</v>
      </c>
      <c r="I19">
        <v>8.9</v>
      </c>
      <c r="J19">
        <v>3.7</v>
      </c>
    </row>
    <row r="20" spans="8:10">
      <c r="J20">
        <f>SUMPRODUCT(I17:I19,J17:J19)/SUM(I17:I19)</f>
        <v>1.6898746383799423</v>
      </c>
    </row>
  </sheetData>
  <hyperlinks>
    <hyperlink ref="I13" r:id="rId1" location="Netflixrevenuebyregion " xr:uid="{3E370BD7-ABEE-4ED4-8013-7FDF5811885D}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A9CEA-5E79-481B-8A0B-13670272D2B6}">
  <sheetPr>
    <outlinePr summaryBelow="0" summaryRight="0"/>
    <pageSetUpPr autoPageBreaks="0"/>
  </sheetPr>
  <dimension ref="A5:IU91"/>
  <sheetViews>
    <sheetView topLeftCell="A33" workbookViewId="0">
      <selection activeCell="A69" sqref="A69"/>
    </sheetView>
  </sheetViews>
  <sheetFormatPr defaultRowHeight="11.25"/>
  <cols>
    <col min="1" max="1" width="124.42578125" style="171" bestFit="1" customWidth="1"/>
    <col min="2" max="2" width="10.85546875" style="171" bestFit="1" customWidth="1"/>
    <col min="3" max="3" width="20.7109375" style="171" bestFit="1" customWidth="1"/>
    <col min="4" max="4" width="10.5703125" style="171" bestFit="1" customWidth="1"/>
    <col min="5" max="5" width="11.5703125" style="171" bestFit="1" customWidth="1"/>
    <col min="6" max="6" width="14" style="171" bestFit="1" customWidth="1"/>
    <col min="7" max="7" width="10.140625" style="171" bestFit="1" customWidth="1"/>
    <col min="8" max="8" width="7.42578125" style="171" bestFit="1" customWidth="1"/>
    <col min="9" max="14" width="17.7109375" style="171" bestFit="1" customWidth="1"/>
    <col min="15" max="256" width="9.140625" style="171"/>
    <col min="257" max="257" width="124.42578125" style="171" bestFit="1" customWidth="1"/>
    <col min="258" max="258" width="10.85546875" style="171" bestFit="1" customWidth="1"/>
    <col min="259" max="259" width="20.7109375" style="171" bestFit="1" customWidth="1"/>
    <col min="260" max="260" width="10.5703125" style="171" bestFit="1" customWidth="1"/>
    <col min="261" max="261" width="11.5703125" style="171" bestFit="1" customWidth="1"/>
    <col min="262" max="262" width="14" style="171" bestFit="1" customWidth="1"/>
    <col min="263" max="263" width="10.140625" style="171" bestFit="1" customWidth="1"/>
    <col min="264" max="264" width="7.42578125" style="171" bestFit="1" customWidth="1"/>
    <col min="265" max="270" width="17.7109375" style="171" bestFit="1" customWidth="1"/>
    <col min="271" max="512" width="9.140625" style="171"/>
    <col min="513" max="513" width="124.42578125" style="171" bestFit="1" customWidth="1"/>
    <col min="514" max="514" width="10.85546875" style="171" bestFit="1" customWidth="1"/>
    <col min="515" max="515" width="20.7109375" style="171" bestFit="1" customWidth="1"/>
    <col min="516" max="516" width="10.5703125" style="171" bestFit="1" customWidth="1"/>
    <col min="517" max="517" width="11.5703125" style="171" bestFit="1" customWidth="1"/>
    <col min="518" max="518" width="14" style="171" bestFit="1" customWidth="1"/>
    <col min="519" max="519" width="10.140625" style="171" bestFit="1" customWidth="1"/>
    <col min="520" max="520" width="7.42578125" style="171" bestFit="1" customWidth="1"/>
    <col min="521" max="526" width="17.7109375" style="171" bestFit="1" customWidth="1"/>
    <col min="527" max="768" width="9.140625" style="171"/>
    <col min="769" max="769" width="124.42578125" style="171" bestFit="1" customWidth="1"/>
    <col min="770" max="770" width="10.85546875" style="171" bestFit="1" customWidth="1"/>
    <col min="771" max="771" width="20.7109375" style="171" bestFit="1" customWidth="1"/>
    <col min="772" max="772" width="10.5703125" style="171" bestFit="1" customWidth="1"/>
    <col min="773" max="773" width="11.5703125" style="171" bestFit="1" customWidth="1"/>
    <col min="774" max="774" width="14" style="171" bestFit="1" customWidth="1"/>
    <col min="775" max="775" width="10.140625" style="171" bestFit="1" customWidth="1"/>
    <col min="776" max="776" width="7.42578125" style="171" bestFit="1" customWidth="1"/>
    <col min="777" max="782" width="17.7109375" style="171" bestFit="1" customWidth="1"/>
    <col min="783" max="1024" width="9.140625" style="171"/>
    <col min="1025" max="1025" width="124.42578125" style="171" bestFit="1" customWidth="1"/>
    <col min="1026" max="1026" width="10.85546875" style="171" bestFit="1" customWidth="1"/>
    <col min="1027" max="1027" width="20.7109375" style="171" bestFit="1" customWidth="1"/>
    <col min="1028" max="1028" width="10.5703125" style="171" bestFit="1" customWidth="1"/>
    <col min="1029" max="1029" width="11.5703125" style="171" bestFit="1" customWidth="1"/>
    <col min="1030" max="1030" width="14" style="171" bestFit="1" customWidth="1"/>
    <col min="1031" max="1031" width="10.140625" style="171" bestFit="1" customWidth="1"/>
    <col min="1032" max="1032" width="7.42578125" style="171" bestFit="1" customWidth="1"/>
    <col min="1033" max="1038" width="17.7109375" style="171" bestFit="1" customWidth="1"/>
    <col min="1039" max="1280" width="9.140625" style="171"/>
    <col min="1281" max="1281" width="124.42578125" style="171" bestFit="1" customWidth="1"/>
    <col min="1282" max="1282" width="10.85546875" style="171" bestFit="1" customWidth="1"/>
    <col min="1283" max="1283" width="20.7109375" style="171" bestFit="1" customWidth="1"/>
    <col min="1284" max="1284" width="10.5703125" style="171" bestFit="1" customWidth="1"/>
    <col min="1285" max="1285" width="11.5703125" style="171" bestFit="1" customWidth="1"/>
    <col min="1286" max="1286" width="14" style="171" bestFit="1" customWidth="1"/>
    <col min="1287" max="1287" width="10.140625" style="171" bestFit="1" customWidth="1"/>
    <col min="1288" max="1288" width="7.42578125" style="171" bestFit="1" customWidth="1"/>
    <col min="1289" max="1294" width="17.7109375" style="171" bestFit="1" customWidth="1"/>
    <col min="1295" max="1536" width="9.140625" style="171"/>
    <col min="1537" max="1537" width="124.42578125" style="171" bestFit="1" customWidth="1"/>
    <col min="1538" max="1538" width="10.85546875" style="171" bestFit="1" customWidth="1"/>
    <col min="1539" max="1539" width="20.7109375" style="171" bestFit="1" customWidth="1"/>
    <col min="1540" max="1540" width="10.5703125" style="171" bestFit="1" customWidth="1"/>
    <col min="1541" max="1541" width="11.5703125" style="171" bestFit="1" customWidth="1"/>
    <col min="1542" max="1542" width="14" style="171" bestFit="1" customWidth="1"/>
    <col min="1543" max="1543" width="10.140625" style="171" bestFit="1" customWidth="1"/>
    <col min="1544" max="1544" width="7.42578125" style="171" bestFit="1" customWidth="1"/>
    <col min="1545" max="1550" width="17.7109375" style="171" bestFit="1" customWidth="1"/>
    <col min="1551" max="1792" width="9.140625" style="171"/>
    <col min="1793" max="1793" width="124.42578125" style="171" bestFit="1" customWidth="1"/>
    <col min="1794" max="1794" width="10.85546875" style="171" bestFit="1" customWidth="1"/>
    <col min="1795" max="1795" width="20.7109375" style="171" bestFit="1" customWidth="1"/>
    <col min="1796" max="1796" width="10.5703125" style="171" bestFit="1" customWidth="1"/>
    <col min="1797" max="1797" width="11.5703125" style="171" bestFit="1" customWidth="1"/>
    <col min="1798" max="1798" width="14" style="171" bestFit="1" customWidth="1"/>
    <col min="1799" max="1799" width="10.140625" style="171" bestFit="1" customWidth="1"/>
    <col min="1800" max="1800" width="7.42578125" style="171" bestFit="1" customWidth="1"/>
    <col min="1801" max="1806" width="17.7109375" style="171" bestFit="1" customWidth="1"/>
    <col min="1807" max="2048" width="9.140625" style="171"/>
    <col min="2049" max="2049" width="124.42578125" style="171" bestFit="1" customWidth="1"/>
    <col min="2050" max="2050" width="10.85546875" style="171" bestFit="1" customWidth="1"/>
    <col min="2051" max="2051" width="20.7109375" style="171" bestFit="1" customWidth="1"/>
    <col min="2052" max="2052" width="10.5703125" style="171" bestFit="1" customWidth="1"/>
    <col min="2053" max="2053" width="11.5703125" style="171" bestFit="1" customWidth="1"/>
    <col min="2054" max="2054" width="14" style="171" bestFit="1" customWidth="1"/>
    <col min="2055" max="2055" width="10.140625" style="171" bestFit="1" customWidth="1"/>
    <col min="2056" max="2056" width="7.42578125" style="171" bestFit="1" customWidth="1"/>
    <col min="2057" max="2062" width="17.7109375" style="171" bestFit="1" customWidth="1"/>
    <col min="2063" max="2304" width="9.140625" style="171"/>
    <col min="2305" max="2305" width="124.42578125" style="171" bestFit="1" customWidth="1"/>
    <col min="2306" max="2306" width="10.85546875" style="171" bestFit="1" customWidth="1"/>
    <col min="2307" max="2307" width="20.7109375" style="171" bestFit="1" customWidth="1"/>
    <col min="2308" max="2308" width="10.5703125" style="171" bestFit="1" customWidth="1"/>
    <col min="2309" max="2309" width="11.5703125" style="171" bestFit="1" customWidth="1"/>
    <col min="2310" max="2310" width="14" style="171" bestFit="1" customWidth="1"/>
    <col min="2311" max="2311" width="10.140625" style="171" bestFit="1" customWidth="1"/>
    <col min="2312" max="2312" width="7.42578125" style="171" bestFit="1" customWidth="1"/>
    <col min="2313" max="2318" width="17.7109375" style="171" bestFit="1" customWidth="1"/>
    <col min="2319" max="2560" width="9.140625" style="171"/>
    <col min="2561" max="2561" width="124.42578125" style="171" bestFit="1" customWidth="1"/>
    <col min="2562" max="2562" width="10.85546875" style="171" bestFit="1" customWidth="1"/>
    <col min="2563" max="2563" width="20.7109375" style="171" bestFit="1" customWidth="1"/>
    <col min="2564" max="2564" width="10.5703125" style="171" bestFit="1" customWidth="1"/>
    <col min="2565" max="2565" width="11.5703125" style="171" bestFit="1" customWidth="1"/>
    <col min="2566" max="2566" width="14" style="171" bestFit="1" customWidth="1"/>
    <col min="2567" max="2567" width="10.140625" style="171" bestFit="1" customWidth="1"/>
    <col min="2568" max="2568" width="7.42578125" style="171" bestFit="1" customWidth="1"/>
    <col min="2569" max="2574" width="17.7109375" style="171" bestFit="1" customWidth="1"/>
    <col min="2575" max="2816" width="9.140625" style="171"/>
    <col min="2817" max="2817" width="124.42578125" style="171" bestFit="1" customWidth="1"/>
    <col min="2818" max="2818" width="10.85546875" style="171" bestFit="1" customWidth="1"/>
    <col min="2819" max="2819" width="20.7109375" style="171" bestFit="1" customWidth="1"/>
    <col min="2820" max="2820" width="10.5703125" style="171" bestFit="1" customWidth="1"/>
    <col min="2821" max="2821" width="11.5703125" style="171" bestFit="1" customWidth="1"/>
    <col min="2822" max="2822" width="14" style="171" bestFit="1" customWidth="1"/>
    <col min="2823" max="2823" width="10.140625" style="171" bestFit="1" customWidth="1"/>
    <col min="2824" max="2824" width="7.42578125" style="171" bestFit="1" customWidth="1"/>
    <col min="2825" max="2830" width="17.7109375" style="171" bestFit="1" customWidth="1"/>
    <col min="2831" max="3072" width="9.140625" style="171"/>
    <col min="3073" max="3073" width="124.42578125" style="171" bestFit="1" customWidth="1"/>
    <col min="3074" max="3074" width="10.85546875" style="171" bestFit="1" customWidth="1"/>
    <col min="3075" max="3075" width="20.7109375" style="171" bestFit="1" customWidth="1"/>
    <col min="3076" max="3076" width="10.5703125" style="171" bestFit="1" customWidth="1"/>
    <col min="3077" max="3077" width="11.5703125" style="171" bestFit="1" customWidth="1"/>
    <col min="3078" max="3078" width="14" style="171" bestFit="1" customWidth="1"/>
    <col min="3079" max="3079" width="10.140625" style="171" bestFit="1" customWidth="1"/>
    <col min="3080" max="3080" width="7.42578125" style="171" bestFit="1" customWidth="1"/>
    <col min="3081" max="3086" width="17.7109375" style="171" bestFit="1" customWidth="1"/>
    <col min="3087" max="3328" width="9.140625" style="171"/>
    <col min="3329" max="3329" width="124.42578125" style="171" bestFit="1" customWidth="1"/>
    <col min="3330" max="3330" width="10.85546875" style="171" bestFit="1" customWidth="1"/>
    <col min="3331" max="3331" width="20.7109375" style="171" bestFit="1" customWidth="1"/>
    <col min="3332" max="3332" width="10.5703125" style="171" bestFit="1" customWidth="1"/>
    <col min="3333" max="3333" width="11.5703125" style="171" bestFit="1" customWidth="1"/>
    <col min="3334" max="3334" width="14" style="171" bestFit="1" customWidth="1"/>
    <col min="3335" max="3335" width="10.140625" style="171" bestFit="1" customWidth="1"/>
    <col min="3336" max="3336" width="7.42578125" style="171" bestFit="1" customWidth="1"/>
    <col min="3337" max="3342" width="17.7109375" style="171" bestFit="1" customWidth="1"/>
    <col min="3343" max="3584" width="9.140625" style="171"/>
    <col min="3585" max="3585" width="124.42578125" style="171" bestFit="1" customWidth="1"/>
    <col min="3586" max="3586" width="10.85546875" style="171" bestFit="1" customWidth="1"/>
    <col min="3587" max="3587" width="20.7109375" style="171" bestFit="1" customWidth="1"/>
    <col min="3588" max="3588" width="10.5703125" style="171" bestFit="1" customWidth="1"/>
    <col min="3589" max="3589" width="11.5703125" style="171" bestFit="1" customWidth="1"/>
    <col min="3590" max="3590" width="14" style="171" bestFit="1" customWidth="1"/>
    <col min="3591" max="3591" width="10.140625" style="171" bestFit="1" customWidth="1"/>
    <col min="3592" max="3592" width="7.42578125" style="171" bestFit="1" customWidth="1"/>
    <col min="3593" max="3598" width="17.7109375" style="171" bestFit="1" customWidth="1"/>
    <col min="3599" max="3840" width="9.140625" style="171"/>
    <col min="3841" max="3841" width="124.42578125" style="171" bestFit="1" customWidth="1"/>
    <col min="3842" max="3842" width="10.85546875" style="171" bestFit="1" customWidth="1"/>
    <col min="3843" max="3843" width="20.7109375" style="171" bestFit="1" customWidth="1"/>
    <col min="3844" max="3844" width="10.5703125" style="171" bestFit="1" customWidth="1"/>
    <col min="3845" max="3845" width="11.5703125" style="171" bestFit="1" customWidth="1"/>
    <col min="3846" max="3846" width="14" style="171" bestFit="1" customWidth="1"/>
    <col min="3847" max="3847" width="10.140625" style="171" bestFit="1" customWidth="1"/>
    <col min="3848" max="3848" width="7.42578125" style="171" bestFit="1" customWidth="1"/>
    <col min="3849" max="3854" width="17.7109375" style="171" bestFit="1" customWidth="1"/>
    <col min="3855" max="4096" width="9.140625" style="171"/>
    <col min="4097" max="4097" width="124.42578125" style="171" bestFit="1" customWidth="1"/>
    <col min="4098" max="4098" width="10.85546875" style="171" bestFit="1" customWidth="1"/>
    <col min="4099" max="4099" width="20.7109375" style="171" bestFit="1" customWidth="1"/>
    <col min="4100" max="4100" width="10.5703125" style="171" bestFit="1" customWidth="1"/>
    <col min="4101" max="4101" width="11.5703125" style="171" bestFit="1" customWidth="1"/>
    <col min="4102" max="4102" width="14" style="171" bestFit="1" customWidth="1"/>
    <col min="4103" max="4103" width="10.140625" style="171" bestFit="1" customWidth="1"/>
    <col min="4104" max="4104" width="7.42578125" style="171" bestFit="1" customWidth="1"/>
    <col min="4105" max="4110" width="17.7109375" style="171" bestFit="1" customWidth="1"/>
    <col min="4111" max="4352" width="9.140625" style="171"/>
    <col min="4353" max="4353" width="124.42578125" style="171" bestFit="1" customWidth="1"/>
    <col min="4354" max="4354" width="10.85546875" style="171" bestFit="1" customWidth="1"/>
    <col min="4355" max="4355" width="20.7109375" style="171" bestFit="1" customWidth="1"/>
    <col min="4356" max="4356" width="10.5703125" style="171" bestFit="1" customWidth="1"/>
    <col min="4357" max="4357" width="11.5703125" style="171" bestFit="1" customWidth="1"/>
    <col min="4358" max="4358" width="14" style="171" bestFit="1" customWidth="1"/>
    <col min="4359" max="4359" width="10.140625" style="171" bestFit="1" customWidth="1"/>
    <col min="4360" max="4360" width="7.42578125" style="171" bestFit="1" customWidth="1"/>
    <col min="4361" max="4366" width="17.7109375" style="171" bestFit="1" customWidth="1"/>
    <col min="4367" max="4608" width="9.140625" style="171"/>
    <col min="4609" max="4609" width="124.42578125" style="171" bestFit="1" customWidth="1"/>
    <col min="4610" max="4610" width="10.85546875" style="171" bestFit="1" customWidth="1"/>
    <col min="4611" max="4611" width="20.7109375" style="171" bestFit="1" customWidth="1"/>
    <col min="4612" max="4612" width="10.5703125" style="171" bestFit="1" customWidth="1"/>
    <col min="4613" max="4613" width="11.5703125" style="171" bestFit="1" customWidth="1"/>
    <col min="4614" max="4614" width="14" style="171" bestFit="1" customWidth="1"/>
    <col min="4615" max="4615" width="10.140625" style="171" bestFit="1" customWidth="1"/>
    <col min="4616" max="4616" width="7.42578125" style="171" bestFit="1" customWidth="1"/>
    <col min="4617" max="4622" width="17.7109375" style="171" bestFit="1" customWidth="1"/>
    <col min="4623" max="4864" width="9.140625" style="171"/>
    <col min="4865" max="4865" width="124.42578125" style="171" bestFit="1" customWidth="1"/>
    <col min="4866" max="4866" width="10.85546875" style="171" bestFit="1" customWidth="1"/>
    <col min="4867" max="4867" width="20.7109375" style="171" bestFit="1" customWidth="1"/>
    <col min="4868" max="4868" width="10.5703125" style="171" bestFit="1" customWidth="1"/>
    <col min="4869" max="4869" width="11.5703125" style="171" bestFit="1" customWidth="1"/>
    <col min="4870" max="4870" width="14" style="171" bestFit="1" customWidth="1"/>
    <col min="4871" max="4871" width="10.140625" style="171" bestFit="1" customWidth="1"/>
    <col min="4872" max="4872" width="7.42578125" style="171" bestFit="1" customWidth="1"/>
    <col min="4873" max="4878" width="17.7109375" style="171" bestFit="1" customWidth="1"/>
    <col min="4879" max="5120" width="9.140625" style="171"/>
    <col min="5121" max="5121" width="124.42578125" style="171" bestFit="1" customWidth="1"/>
    <col min="5122" max="5122" width="10.85546875" style="171" bestFit="1" customWidth="1"/>
    <col min="5123" max="5123" width="20.7109375" style="171" bestFit="1" customWidth="1"/>
    <col min="5124" max="5124" width="10.5703125" style="171" bestFit="1" customWidth="1"/>
    <col min="5125" max="5125" width="11.5703125" style="171" bestFit="1" customWidth="1"/>
    <col min="5126" max="5126" width="14" style="171" bestFit="1" customWidth="1"/>
    <col min="5127" max="5127" width="10.140625" style="171" bestFit="1" customWidth="1"/>
    <col min="5128" max="5128" width="7.42578125" style="171" bestFit="1" customWidth="1"/>
    <col min="5129" max="5134" width="17.7109375" style="171" bestFit="1" customWidth="1"/>
    <col min="5135" max="5376" width="9.140625" style="171"/>
    <col min="5377" max="5377" width="124.42578125" style="171" bestFit="1" customWidth="1"/>
    <col min="5378" max="5378" width="10.85546875" style="171" bestFit="1" customWidth="1"/>
    <col min="5379" max="5379" width="20.7109375" style="171" bestFit="1" customWidth="1"/>
    <col min="5380" max="5380" width="10.5703125" style="171" bestFit="1" customWidth="1"/>
    <col min="5381" max="5381" width="11.5703125" style="171" bestFit="1" customWidth="1"/>
    <col min="5382" max="5382" width="14" style="171" bestFit="1" customWidth="1"/>
    <col min="5383" max="5383" width="10.140625" style="171" bestFit="1" customWidth="1"/>
    <col min="5384" max="5384" width="7.42578125" style="171" bestFit="1" customWidth="1"/>
    <col min="5385" max="5390" width="17.7109375" style="171" bestFit="1" customWidth="1"/>
    <col min="5391" max="5632" width="9.140625" style="171"/>
    <col min="5633" max="5633" width="124.42578125" style="171" bestFit="1" customWidth="1"/>
    <col min="5634" max="5634" width="10.85546875" style="171" bestFit="1" customWidth="1"/>
    <col min="5635" max="5635" width="20.7109375" style="171" bestFit="1" customWidth="1"/>
    <col min="5636" max="5636" width="10.5703125" style="171" bestFit="1" customWidth="1"/>
    <col min="5637" max="5637" width="11.5703125" style="171" bestFit="1" customWidth="1"/>
    <col min="5638" max="5638" width="14" style="171" bestFit="1" customWidth="1"/>
    <col min="5639" max="5639" width="10.140625" style="171" bestFit="1" customWidth="1"/>
    <col min="5640" max="5640" width="7.42578125" style="171" bestFit="1" customWidth="1"/>
    <col min="5641" max="5646" width="17.7109375" style="171" bestFit="1" customWidth="1"/>
    <col min="5647" max="5888" width="9.140625" style="171"/>
    <col min="5889" max="5889" width="124.42578125" style="171" bestFit="1" customWidth="1"/>
    <col min="5890" max="5890" width="10.85546875" style="171" bestFit="1" customWidth="1"/>
    <col min="5891" max="5891" width="20.7109375" style="171" bestFit="1" customWidth="1"/>
    <col min="5892" max="5892" width="10.5703125" style="171" bestFit="1" customWidth="1"/>
    <col min="5893" max="5893" width="11.5703125" style="171" bestFit="1" customWidth="1"/>
    <col min="5894" max="5894" width="14" style="171" bestFit="1" customWidth="1"/>
    <col min="5895" max="5895" width="10.140625" style="171" bestFit="1" customWidth="1"/>
    <col min="5896" max="5896" width="7.42578125" style="171" bestFit="1" customWidth="1"/>
    <col min="5897" max="5902" width="17.7109375" style="171" bestFit="1" customWidth="1"/>
    <col min="5903" max="6144" width="9.140625" style="171"/>
    <col min="6145" max="6145" width="124.42578125" style="171" bestFit="1" customWidth="1"/>
    <col min="6146" max="6146" width="10.85546875" style="171" bestFit="1" customWidth="1"/>
    <col min="6147" max="6147" width="20.7109375" style="171" bestFit="1" customWidth="1"/>
    <col min="6148" max="6148" width="10.5703125" style="171" bestFit="1" customWidth="1"/>
    <col min="6149" max="6149" width="11.5703125" style="171" bestFit="1" customWidth="1"/>
    <col min="6150" max="6150" width="14" style="171" bestFit="1" customWidth="1"/>
    <col min="6151" max="6151" width="10.140625" style="171" bestFit="1" customWidth="1"/>
    <col min="6152" max="6152" width="7.42578125" style="171" bestFit="1" customWidth="1"/>
    <col min="6153" max="6158" width="17.7109375" style="171" bestFit="1" customWidth="1"/>
    <col min="6159" max="6400" width="9.140625" style="171"/>
    <col min="6401" max="6401" width="124.42578125" style="171" bestFit="1" customWidth="1"/>
    <col min="6402" max="6402" width="10.85546875" style="171" bestFit="1" customWidth="1"/>
    <col min="6403" max="6403" width="20.7109375" style="171" bestFit="1" customWidth="1"/>
    <col min="6404" max="6404" width="10.5703125" style="171" bestFit="1" customWidth="1"/>
    <col min="6405" max="6405" width="11.5703125" style="171" bestFit="1" customWidth="1"/>
    <col min="6406" max="6406" width="14" style="171" bestFit="1" customWidth="1"/>
    <col min="6407" max="6407" width="10.140625" style="171" bestFit="1" customWidth="1"/>
    <col min="6408" max="6408" width="7.42578125" style="171" bestFit="1" customWidth="1"/>
    <col min="6409" max="6414" width="17.7109375" style="171" bestFit="1" customWidth="1"/>
    <col min="6415" max="6656" width="9.140625" style="171"/>
    <col min="6657" max="6657" width="124.42578125" style="171" bestFit="1" customWidth="1"/>
    <col min="6658" max="6658" width="10.85546875" style="171" bestFit="1" customWidth="1"/>
    <col min="6659" max="6659" width="20.7109375" style="171" bestFit="1" customWidth="1"/>
    <col min="6660" max="6660" width="10.5703125" style="171" bestFit="1" customWidth="1"/>
    <col min="6661" max="6661" width="11.5703125" style="171" bestFit="1" customWidth="1"/>
    <col min="6662" max="6662" width="14" style="171" bestFit="1" customWidth="1"/>
    <col min="6663" max="6663" width="10.140625" style="171" bestFit="1" customWidth="1"/>
    <col min="6664" max="6664" width="7.42578125" style="171" bestFit="1" customWidth="1"/>
    <col min="6665" max="6670" width="17.7109375" style="171" bestFit="1" customWidth="1"/>
    <col min="6671" max="6912" width="9.140625" style="171"/>
    <col min="6913" max="6913" width="124.42578125" style="171" bestFit="1" customWidth="1"/>
    <col min="6914" max="6914" width="10.85546875" style="171" bestFit="1" customWidth="1"/>
    <col min="6915" max="6915" width="20.7109375" style="171" bestFit="1" customWidth="1"/>
    <col min="6916" max="6916" width="10.5703125" style="171" bestFit="1" customWidth="1"/>
    <col min="6917" max="6917" width="11.5703125" style="171" bestFit="1" customWidth="1"/>
    <col min="6918" max="6918" width="14" style="171" bestFit="1" customWidth="1"/>
    <col min="6919" max="6919" width="10.140625" style="171" bestFit="1" customWidth="1"/>
    <col min="6920" max="6920" width="7.42578125" style="171" bestFit="1" customWidth="1"/>
    <col min="6921" max="6926" width="17.7109375" style="171" bestFit="1" customWidth="1"/>
    <col min="6927" max="7168" width="9.140625" style="171"/>
    <col min="7169" max="7169" width="124.42578125" style="171" bestFit="1" customWidth="1"/>
    <col min="7170" max="7170" width="10.85546875" style="171" bestFit="1" customWidth="1"/>
    <col min="7171" max="7171" width="20.7109375" style="171" bestFit="1" customWidth="1"/>
    <col min="7172" max="7172" width="10.5703125" style="171" bestFit="1" customWidth="1"/>
    <col min="7173" max="7173" width="11.5703125" style="171" bestFit="1" customWidth="1"/>
    <col min="7174" max="7174" width="14" style="171" bestFit="1" customWidth="1"/>
    <col min="7175" max="7175" width="10.140625" style="171" bestFit="1" customWidth="1"/>
    <col min="7176" max="7176" width="7.42578125" style="171" bestFit="1" customWidth="1"/>
    <col min="7177" max="7182" width="17.7109375" style="171" bestFit="1" customWidth="1"/>
    <col min="7183" max="7424" width="9.140625" style="171"/>
    <col min="7425" max="7425" width="124.42578125" style="171" bestFit="1" customWidth="1"/>
    <col min="7426" max="7426" width="10.85546875" style="171" bestFit="1" customWidth="1"/>
    <col min="7427" max="7427" width="20.7109375" style="171" bestFit="1" customWidth="1"/>
    <col min="7428" max="7428" width="10.5703125" style="171" bestFit="1" customWidth="1"/>
    <col min="7429" max="7429" width="11.5703125" style="171" bestFit="1" customWidth="1"/>
    <col min="7430" max="7430" width="14" style="171" bestFit="1" customWidth="1"/>
    <col min="7431" max="7431" width="10.140625" style="171" bestFit="1" customWidth="1"/>
    <col min="7432" max="7432" width="7.42578125" style="171" bestFit="1" customWidth="1"/>
    <col min="7433" max="7438" width="17.7109375" style="171" bestFit="1" customWidth="1"/>
    <col min="7439" max="7680" width="9.140625" style="171"/>
    <col min="7681" max="7681" width="124.42578125" style="171" bestFit="1" customWidth="1"/>
    <col min="7682" max="7682" width="10.85546875" style="171" bestFit="1" customWidth="1"/>
    <col min="7683" max="7683" width="20.7109375" style="171" bestFit="1" customWidth="1"/>
    <col min="7684" max="7684" width="10.5703125" style="171" bestFit="1" customWidth="1"/>
    <col min="7685" max="7685" width="11.5703125" style="171" bestFit="1" customWidth="1"/>
    <col min="7686" max="7686" width="14" style="171" bestFit="1" customWidth="1"/>
    <col min="7687" max="7687" width="10.140625" style="171" bestFit="1" customWidth="1"/>
    <col min="7688" max="7688" width="7.42578125" style="171" bestFit="1" customWidth="1"/>
    <col min="7689" max="7694" width="17.7109375" style="171" bestFit="1" customWidth="1"/>
    <col min="7695" max="7936" width="9.140625" style="171"/>
    <col min="7937" max="7937" width="124.42578125" style="171" bestFit="1" customWidth="1"/>
    <col min="7938" max="7938" width="10.85546875" style="171" bestFit="1" customWidth="1"/>
    <col min="7939" max="7939" width="20.7109375" style="171" bestFit="1" customWidth="1"/>
    <col min="7940" max="7940" width="10.5703125" style="171" bestFit="1" customWidth="1"/>
    <col min="7941" max="7941" width="11.5703125" style="171" bestFit="1" customWidth="1"/>
    <col min="7942" max="7942" width="14" style="171" bestFit="1" customWidth="1"/>
    <col min="7943" max="7943" width="10.140625" style="171" bestFit="1" customWidth="1"/>
    <col min="7944" max="7944" width="7.42578125" style="171" bestFit="1" customWidth="1"/>
    <col min="7945" max="7950" width="17.7109375" style="171" bestFit="1" customWidth="1"/>
    <col min="7951" max="8192" width="9.140625" style="171"/>
    <col min="8193" max="8193" width="124.42578125" style="171" bestFit="1" customWidth="1"/>
    <col min="8194" max="8194" width="10.85546875" style="171" bestFit="1" customWidth="1"/>
    <col min="8195" max="8195" width="20.7109375" style="171" bestFit="1" customWidth="1"/>
    <col min="8196" max="8196" width="10.5703125" style="171" bestFit="1" customWidth="1"/>
    <col min="8197" max="8197" width="11.5703125" style="171" bestFit="1" customWidth="1"/>
    <col min="8198" max="8198" width="14" style="171" bestFit="1" customWidth="1"/>
    <col min="8199" max="8199" width="10.140625" style="171" bestFit="1" customWidth="1"/>
    <col min="8200" max="8200" width="7.42578125" style="171" bestFit="1" customWidth="1"/>
    <col min="8201" max="8206" width="17.7109375" style="171" bestFit="1" customWidth="1"/>
    <col min="8207" max="8448" width="9.140625" style="171"/>
    <col min="8449" max="8449" width="124.42578125" style="171" bestFit="1" customWidth="1"/>
    <col min="8450" max="8450" width="10.85546875" style="171" bestFit="1" customWidth="1"/>
    <col min="8451" max="8451" width="20.7109375" style="171" bestFit="1" customWidth="1"/>
    <col min="8452" max="8452" width="10.5703125" style="171" bestFit="1" customWidth="1"/>
    <col min="8453" max="8453" width="11.5703125" style="171" bestFit="1" customWidth="1"/>
    <col min="8454" max="8454" width="14" style="171" bestFit="1" customWidth="1"/>
    <col min="8455" max="8455" width="10.140625" style="171" bestFit="1" customWidth="1"/>
    <col min="8456" max="8456" width="7.42578125" style="171" bestFit="1" customWidth="1"/>
    <col min="8457" max="8462" width="17.7109375" style="171" bestFit="1" customWidth="1"/>
    <col min="8463" max="8704" width="9.140625" style="171"/>
    <col min="8705" max="8705" width="124.42578125" style="171" bestFit="1" customWidth="1"/>
    <col min="8706" max="8706" width="10.85546875" style="171" bestFit="1" customWidth="1"/>
    <col min="8707" max="8707" width="20.7109375" style="171" bestFit="1" customWidth="1"/>
    <col min="8708" max="8708" width="10.5703125" style="171" bestFit="1" customWidth="1"/>
    <col min="8709" max="8709" width="11.5703125" style="171" bestFit="1" customWidth="1"/>
    <col min="8710" max="8710" width="14" style="171" bestFit="1" customWidth="1"/>
    <col min="8711" max="8711" width="10.140625" style="171" bestFit="1" customWidth="1"/>
    <col min="8712" max="8712" width="7.42578125" style="171" bestFit="1" customWidth="1"/>
    <col min="8713" max="8718" width="17.7109375" style="171" bestFit="1" customWidth="1"/>
    <col min="8719" max="8960" width="9.140625" style="171"/>
    <col min="8961" max="8961" width="124.42578125" style="171" bestFit="1" customWidth="1"/>
    <col min="8962" max="8962" width="10.85546875" style="171" bestFit="1" customWidth="1"/>
    <col min="8963" max="8963" width="20.7109375" style="171" bestFit="1" customWidth="1"/>
    <col min="8964" max="8964" width="10.5703125" style="171" bestFit="1" customWidth="1"/>
    <col min="8965" max="8965" width="11.5703125" style="171" bestFit="1" customWidth="1"/>
    <col min="8966" max="8966" width="14" style="171" bestFit="1" customWidth="1"/>
    <col min="8967" max="8967" width="10.140625" style="171" bestFit="1" customWidth="1"/>
    <col min="8968" max="8968" width="7.42578125" style="171" bestFit="1" customWidth="1"/>
    <col min="8969" max="8974" width="17.7109375" style="171" bestFit="1" customWidth="1"/>
    <col min="8975" max="9216" width="9.140625" style="171"/>
    <col min="9217" max="9217" width="124.42578125" style="171" bestFit="1" customWidth="1"/>
    <col min="9218" max="9218" width="10.85546875" style="171" bestFit="1" customWidth="1"/>
    <col min="9219" max="9219" width="20.7109375" style="171" bestFit="1" customWidth="1"/>
    <col min="9220" max="9220" width="10.5703125" style="171" bestFit="1" customWidth="1"/>
    <col min="9221" max="9221" width="11.5703125" style="171" bestFit="1" customWidth="1"/>
    <col min="9222" max="9222" width="14" style="171" bestFit="1" customWidth="1"/>
    <col min="9223" max="9223" width="10.140625" style="171" bestFit="1" customWidth="1"/>
    <col min="9224" max="9224" width="7.42578125" style="171" bestFit="1" customWidth="1"/>
    <col min="9225" max="9230" width="17.7109375" style="171" bestFit="1" customWidth="1"/>
    <col min="9231" max="9472" width="9.140625" style="171"/>
    <col min="9473" max="9473" width="124.42578125" style="171" bestFit="1" customWidth="1"/>
    <col min="9474" max="9474" width="10.85546875" style="171" bestFit="1" customWidth="1"/>
    <col min="9475" max="9475" width="20.7109375" style="171" bestFit="1" customWidth="1"/>
    <col min="9476" max="9476" width="10.5703125" style="171" bestFit="1" customWidth="1"/>
    <col min="9477" max="9477" width="11.5703125" style="171" bestFit="1" customWidth="1"/>
    <col min="9478" max="9478" width="14" style="171" bestFit="1" customWidth="1"/>
    <col min="9479" max="9479" width="10.140625" style="171" bestFit="1" customWidth="1"/>
    <col min="9480" max="9480" width="7.42578125" style="171" bestFit="1" customWidth="1"/>
    <col min="9481" max="9486" width="17.7109375" style="171" bestFit="1" customWidth="1"/>
    <col min="9487" max="9728" width="9.140625" style="171"/>
    <col min="9729" max="9729" width="124.42578125" style="171" bestFit="1" customWidth="1"/>
    <col min="9730" max="9730" width="10.85546875" style="171" bestFit="1" customWidth="1"/>
    <col min="9731" max="9731" width="20.7109375" style="171" bestFit="1" customWidth="1"/>
    <col min="9732" max="9732" width="10.5703125" style="171" bestFit="1" customWidth="1"/>
    <col min="9733" max="9733" width="11.5703125" style="171" bestFit="1" customWidth="1"/>
    <col min="9734" max="9734" width="14" style="171" bestFit="1" customWidth="1"/>
    <col min="9735" max="9735" width="10.140625" style="171" bestFit="1" customWidth="1"/>
    <col min="9736" max="9736" width="7.42578125" style="171" bestFit="1" customWidth="1"/>
    <col min="9737" max="9742" width="17.7109375" style="171" bestFit="1" customWidth="1"/>
    <col min="9743" max="9984" width="9.140625" style="171"/>
    <col min="9985" max="9985" width="124.42578125" style="171" bestFit="1" customWidth="1"/>
    <col min="9986" max="9986" width="10.85546875" style="171" bestFit="1" customWidth="1"/>
    <col min="9987" max="9987" width="20.7109375" style="171" bestFit="1" customWidth="1"/>
    <col min="9988" max="9988" width="10.5703125" style="171" bestFit="1" customWidth="1"/>
    <col min="9989" max="9989" width="11.5703125" style="171" bestFit="1" customWidth="1"/>
    <col min="9990" max="9990" width="14" style="171" bestFit="1" customWidth="1"/>
    <col min="9991" max="9991" width="10.140625" style="171" bestFit="1" customWidth="1"/>
    <col min="9992" max="9992" width="7.42578125" style="171" bestFit="1" customWidth="1"/>
    <col min="9993" max="9998" width="17.7109375" style="171" bestFit="1" customWidth="1"/>
    <col min="9999" max="10240" width="9.140625" style="171"/>
    <col min="10241" max="10241" width="124.42578125" style="171" bestFit="1" customWidth="1"/>
    <col min="10242" max="10242" width="10.85546875" style="171" bestFit="1" customWidth="1"/>
    <col min="10243" max="10243" width="20.7109375" style="171" bestFit="1" customWidth="1"/>
    <col min="10244" max="10244" width="10.5703125" style="171" bestFit="1" customWidth="1"/>
    <col min="10245" max="10245" width="11.5703125" style="171" bestFit="1" customWidth="1"/>
    <col min="10246" max="10246" width="14" style="171" bestFit="1" customWidth="1"/>
    <col min="10247" max="10247" width="10.140625" style="171" bestFit="1" customWidth="1"/>
    <col min="10248" max="10248" width="7.42578125" style="171" bestFit="1" customWidth="1"/>
    <col min="10249" max="10254" width="17.7109375" style="171" bestFit="1" customWidth="1"/>
    <col min="10255" max="10496" width="9.140625" style="171"/>
    <col min="10497" max="10497" width="124.42578125" style="171" bestFit="1" customWidth="1"/>
    <col min="10498" max="10498" width="10.85546875" style="171" bestFit="1" customWidth="1"/>
    <col min="10499" max="10499" width="20.7109375" style="171" bestFit="1" customWidth="1"/>
    <col min="10500" max="10500" width="10.5703125" style="171" bestFit="1" customWidth="1"/>
    <col min="10501" max="10501" width="11.5703125" style="171" bestFit="1" customWidth="1"/>
    <col min="10502" max="10502" width="14" style="171" bestFit="1" customWidth="1"/>
    <col min="10503" max="10503" width="10.140625" style="171" bestFit="1" customWidth="1"/>
    <col min="10504" max="10504" width="7.42578125" style="171" bestFit="1" customWidth="1"/>
    <col min="10505" max="10510" width="17.7109375" style="171" bestFit="1" customWidth="1"/>
    <col min="10511" max="10752" width="9.140625" style="171"/>
    <col min="10753" max="10753" width="124.42578125" style="171" bestFit="1" customWidth="1"/>
    <col min="10754" max="10754" width="10.85546875" style="171" bestFit="1" customWidth="1"/>
    <col min="10755" max="10755" width="20.7109375" style="171" bestFit="1" customWidth="1"/>
    <col min="10756" max="10756" width="10.5703125" style="171" bestFit="1" customWidth="1"/>
    <col min="10757" max="10757" width="11.5703125" style="171" bestFit="1" customWidth="1"/>
    <col min="10758" max="10758" width="14" style="171" bestFit="1" customWidth="1"/>
    <col min="10759" max="10759" width="10.140625" style="171" bestFit="1" customWidth="1"/>
    <col min="10760" max="10760" width="7.42578125" style="171" bestFit="1" customWidth="1"/>
    <col min="10761" max="10766" width="17.7109375" style="171" bestFit="1" customWidth="1"/>
    <col min="10767" max="11008" width="9.140625" style="171"/>
    <col min="11009" max="11009" width="124.42578125" style="171" bestFit="1" customWidth="1"/>
    <col min="11010" max="11010" width="10.85546875" style="171" bestFit="1" customWidth="1"/>
    <col min="11011" max="11011" width="20.7109375" style="171" bestFit="1" customWidth="1"/>
    <col min="11012" max="11012" width="10.5703125" style="171" bestFit="1" customWidth="1"/>
    <col min="11013" max="11013" width="11.5703125" style="171" bestFit="1" customWidth="1"/>
    <col min="11014" max="11014" width="14" style="171" bestFit="1" customWidth="1"/>
    <col min="11015" max="11015" width="10.140625" style="171" bestFit="1" customWidth="1"/>
    <col min="11016" max="11016" width="7.42578125" style="171" bestFit="1" customWidth="1"/>
    <col min="11017" max="11022" width="17.7109375" style="171" bestFit="1" customWidth="1"/>
    <col min="11023" max="11264" width="9.140625" style="171"/>
    <col min="11265" max="11265" width="124.42578125" style="171" bestFit="1" customWidth="1"/>
    <col min="11266" max="11266" width="10.85546875" style="171" bestFit="1" customWidth="1"/>
    <col min="11267" max="11267" width="20.7109375" style="171" bestFit="1" customWidth="1"/>
    <col min="11268" max="11268" width="10.5703125" style="171" bestFit="1" customWidth="1"/>
    <col min="11269" max="11269" width="11.5703125" style="171" bestFit="1" customWidth="1"/>
    <col min="11270" max="11270" width="14" style="171" bestFit="1" customWidth="1"/>
    <col min="11271" max="11271" width="10.140625" style="171" bestFit="1" customWidth="1"/>
    <col min="11272" max="11272" width="7.42578125" style="171" bestFit="1" customWidth="1"/>
    <col min="11273" max="11278" width="17.7109375" style="171" bestFit="1" customWidth="1"/>
    <col min="11279" max="11520" width="9.140625" style="171"/>
    <col min="11521" max="11521" width="124.42578125" style="171" bestFit="1" customWidth="1"/>
    <col min="11522" max="11522" width="10.85546875" style="171" bestFit="1" customWidth="1"/>
    <col min="11523" max="11523" width="20.7109375" style="171" bestFit="1" customWidth="1"/>
    <col min="11524" max="11524" width="10.5703125" style="171" bestFit="1" customWidth="1"/>
    <col min="11525" max="11525" width="11.5703125" style="171" bestFit="1" customWidth="1"/>
    <col min="11526" max="11526" width="14" style="171" bestFit="1" customWidth="1"/>
    <col min="11527" max="11527" width="10.140625" style="171" bestFit="1" customWidth="1"/>
    <col min="11528" max="11528" width="7.42578125" style="171" bestFit="1" customWidth="1"/>
    <col min="11529" max="11534" width="17.7109375" style="171" bestFit="1" customWidth="1"/>
    <col min="11535" max="11776" width="9.140625" style="171"/>
    <col min="11777" max="11777" width="124.42578125" style="171" bestFit="1" customWidth="1"/>
    <col min="11778" max="11778" width="10.85546875" style="171" bestFit="1" customWidth="1"/>
    <col min="11779" max="11779" width="20.7109375" style="171" bestFit="1" customWidth="1"/>
    <col min="11780" max="11780" width="10.5703125" style="171" bestFit="1" customWidth="1"/>
    <col min="11781" max="11781" width="11.5703125" style="171" bestFit="1" customWidth="1"/>
    <col min="11782" max="11782" width="14" style="171" bestFit="1" customWidth="1"/>
    <col min="11783" max="11783" width="10.140625" style="171" bestFit="1" customWidth="1"/>
    <col min="11784" max="11784" width="7.42578125" style="171" bestFit="1" customWidth="1"/>
    <col min="11785" max="11790" width="17.7109375" style="171" bestFit="1" customWidth="1"/>
    <col min="11791" max="12032" width="9.140625" style="171"/>
    <col min="12033" max="12033" width="124.42578125" style="171" bestFit="1" customWidth="1"/>
    <col min="12034" max="12034" width="10.85546875" style="171" bestFit="1" customWidth="1"/>
    <col min="12035" max="12035" width="20.7109375" style="171" bestFit="1" customWidth="1"/>
    <col min="12036" max="12036" width="10.5703125" style="171" bestFit="1" customWidth="1"/>
    <col min="12037" max="12037" width="11.5703125" style="171" bestFit="1" customWidth="1"/>
    <col min="12038" max="12038" width="14" style="171" bestFit="1" customWidth="1"/>
    <col min="12039" max="12039" width="10.140625" style="171" bestFit="1" customWidth="1"/>
    <col min="12040" max="12040" width="7.42578125" style="171" bestFit="1" customWidth="1"/>
    <col min="12041" max="12046" width="17.7109375" style="171" bestFit="1" customWidth="1"/>
    <col min="12047" max="12288" width="9.140625" style="171"/>
    <col min="12289" max="12289" width="124.42578125" style="171" bestFit="1" customWidth="1"/>
    <col min="12290" max="12290" width="10.85546875" style="171" bestFit="1" customWidth="1"/>
    <col min="12291" max="12291" width="20.7109375" style="171" bestFit="1" customWidth="1"/>
    <col min="12292" max="12292" width="10.5703125" style="171" bestFit="1" customWidth="1"/>
    <col min="12293" max="12293" width="11.5703125" style="171" bestFit="1" customWidth="1"/>
    <col min="12294" max="12294" width="14" style="171" bestFit="1" customWidth="1"/>
    <col min="12295" max="12295" width="10.140625" style="171" bestFit="1" customWidth="1"/>
    <col min="12296" max="12296" width="7.42578125" style="171" bestFit="1" customWidth="1"/>
    <col min="12297" max="12302" width="17.7109375" style="171" bestFit="1" customWidth="1"/>
    <col min="12303" max="12544" width="9.140625" style="171"/>
    <col min="12545" max="12545" width="124.42578125" style="171" bestFit="1" customWidth="1"/>
    <col min="12546" max="12546" width="10.85546875" style="171" bestFit="1" customWidth="1"/>
    <col min="12547" max="12547" width="20.7109375" style="171" bestFit="1" customWidth="1"/>
    <col min="12548" max="12548" width="10.5703125" style="171" bestFit="1" customWidth="1"/>
    <col min="12549" max="12549" width="11.5703125" style="171" bestFit="1" customWidth="1"/>
    <col min="12550" max="12550" width="14" style="171" bestFit="1" customWidth="1"/>
    <col min="12551" max="12551" width="10.140625" style="171" bestFit="1" customWidth="1"/>
    <col min="12552" max="12552" width="7.42578125" style="171" bestFit="1" customWidth="1"/>
    <col min="12553" max="12558" width="17.7109375" style="171" bestFit="1" customWidth="1"/>
    <col min="12559" max="12800" width="9.140625" style="171"/>
    <col min="12801" max="12801" width="124.42578125" style="171" bestFit="1" customWidth="1"/>
    <col min="12802" max="12802" width="10.85546875" style="171" bestFit="1" customWidth="1"/>
    <col min="12803" max="12803" width="20.7109375" style="171" bestFit="1" customWidth="1"/>
    <col min="12804" max="12804" width="10.5703125" style="171" bestFit="1" customWidth="1"/>
    <col min="12805" max="12805" width="11.5703125" style="171" bestFit="1" customWidth="1"/>
    <col min="12806" max="12806" width="14" style="171" bestFit="1" customWidth="1"/>
    <col min="12807" max="12807" width="10.140625" style="171" bestFit="1" customWidth="1"/>
    <col min="12808" max="12808" width="7.42578125" style="171" bestFit="1" customWidth="1"/>
    <col min="12809" max="12814" width="17.7109375" style="171" bestFit="1" customWidth="1"/>
    <col min="12815" max="13056" width="9.140625" style="171"/>
    <col min="13057" max="13057" width="124.42578125" style="171" bestFit="1" customWidth="1"/>
    <col min="13058" max="13058" width="10.85546875" style="171" bestFit="1" customWidth="1"/>
    <col min="13059" max="13059" width="20.7109375" style="171" bestFit="1" customWidth="1"/>
    <col min="13060" max="13060" width="10.5703125" style="171" bestFit="1" customWidth="1"/>
    <col min="13061" max="13061" width="11.5703125" style="171" bestFit="1" customWidth="1"/>
    <col min="13062" max="13062" width="14" style="171" bestFit="1" customWidth="1"/>
    <col min="13063" max="13063" width="10.140625" style="171" bestFit="1" customWidth="1"/>
    <col min="13064" max="13064" width="7.42578125" style="171" bestFit="1" customWidth="1"/>
    <col min="13065" max="13070" width="17.7109375" style="171" bestFit="1" customWidth="1"/>
    <col min="13071" max="13312" width="9.140625" style="171"/>
    <col min="13313" max="13313" width="124.42578125" style="171" bestFit="1" customWidth="1"/>
    <col min="13314" max="13314" width="10.85546875" style="171" bestFit="1" customWidth="1"/>
    <col min="13315" max="13315" width="20.7109375" style="171" bestFit="1" customWidth="1"/>
    <col min="13316" max="13316" width="10.5703125" style="171" bestFit="1" customWidth="1"/>
    <col min="13317" max="13317" width="11.5703125" style="171" bestFit="1" customWidth="1"/>
    <col min="13318" max="13318" width="14" style="171" bestFit="1" customWidth="1"/>
    <col min="13319" max="13319" width="10.140625" style="171" bestFit="1" customWidth="1"/>
    <col min="13320" max="13320" width="7.42578125" style="171" bestFit="1" customWidth="1"/>
    <col min="13321" max="13326" width="17.7109375" style="171" bestFit="1" customWidth="1"/>
    <col min="13327" max="13568" width="9.140625" style="171"/>
    <col min="13569" max="13569" width="124.42578125" style="171" bestFit="1" customWidth="1"/>
    <col min="13570" max="13570" width="10.85546875" style="171" bestFit="1" customWidth="1"/>
    <col min="13571" max="13571" width="20.7109375" style="171" bestFit="1" customWidth="1"/>
    <col min="13572" max="13572" width="10.5703125" style="171" bestFit="1" customWidth="1"/>
    <col min="13573" max="13573" width="11.5703125" style="171" bestFit="1" customWidth="1"/>
    <col min="13574" max="13574" width="14" style="171" bestFit="1" customWidth="1"/>
    <col min="13575" max="13575" width="10.140625" style="171" bestFit="1" customWidth="1"/>
    <col min="13576" max="13576" width="7.42578125" style="171" bestFit="1" customWidth="1"/>
    <col min="13577" max="13582" width="17.7109375" style="171" bestFit="1" customWidth="1"/>
    <col min="13583" max="13824" width="9.140625" style="171"/>
    <col min="13825" max="13825" width="124.42578125" style="171" bestFit="1" customWidth="1"/>
    <col min="13826" max="13826" width="10.85546875" style="171" bestFit="1" customWidth="1"/>
    <col min="13827" max="13827" width="20.7109375" style="171" bestFit="1" customWidth="1"/>
    <col min="13828" max="13828" width="10.5703125" style="171" bestFit="1" customWidth="1"/>
    <col min="13829" max="13829" width="11.5703125" style="171" bestFit="1" customWidth="1"/>
    <col min="13830" max="13830" width="14" style="171" bestFit="1" customWidth="1"/>
    <col min="13831" max="13831" width="10.140625" style="171" bestFit="1" customWidth="1"/>
    <col min="13832" max="13832" width="7.42578125" style="171" bestFit="1" customWidth="1"/>
    <col min="13833" max="13838" width="17.7109375" style="171" bestFit="1" customWidth="1"/>
    <col min="13839" max="14080" width="9.140625" style="171"/>
    <col min="14081" max="14081" width="124.42578125" style="171" bestFit="1" customWidth="1"/>
    <col min="14082" max="14082" width="10.85546875" style="171" bestFit="1" customWidth="1"/>
    <col min="14083" max="14083" width="20.7109375" style="171" bestFit="1" customWidth="1"/>
    <col min="14084" max="14084" width="10.5703125" style="171" bestFit="1" customWidth="1"/>
    <col min="14085" max="14085" width="11.5703125" style="171" bestFit="1" customWidth="1"/>
    <col min="14086" max="14086" width="14" style="171" bestFit="1" customWidth="1"/>
    <col min="14087" max="14087" width="10.140625" style="171" bestFit="1" customWidth="1"/>
    <col min="14088" max="14088" width="7.42578125" style="171" bestFit="1" customWidth="1"/>
    <col min="14089" max="14094" width="17.7109375" style="171" bestFit="1" customWidth="1"/>
    <col min="14095" max="14336" width="9.140625" style="171"/>
    <col min="14337" max="14337" width="124.42578125" style="171" bestFit="1" customWidth="1"/>
    <col min="14338" max="14338" width="10.85546875" style="171" bestFit="1" customWidth="1"/>
    <col min="14339" max="14339" width="20.7109375" style="171" bestFit="1" customWidth="1"/>
    <col min="14340" max="14340" width="10.5703125" style="171" bestFit="1" customWidth="1"/>
    <col min="14341" max="14341" width="11.5703125" style="171" bestFit="1" customWidth="1"/>
    <col min="14342" max="14342" width="14" style="171" bestFit="1" customWidth="1"/>
    <col min="14343" max="14343" width="10.140625" style="171" bestFit="1" customWidth="1"/>
    <col min="14344" max="14344" width="7.42578125" style="171" bestFit="1" customWidth="1"/>
    <col min="14345" max="14350" width="17.7109375" style="171" bestFit="1" customWidth="1"/>
    <col min="14351" max="14592" width="9.140625" style="171"/>
    <col min="14593" max="14593" width="124.42578125" style="171" bestFit="1" customWidth="1"/>
    <col min="14594" max="14594" width="10.85546875" style="171" bestFit="1" customWidth="1"/>
    <col min="14595" max="14595" width="20.7109375" style="171" bestFit="1" customWidth="1"/>
    <col min="14596" max="14596" width="10.5703125" style="171" bestFit="1" customWidth="1"/>
    <col min="14597" max="14597" width="11.5703125" style="171" bestFit="1" customWidth="1"/>
    <col min="14598" max="14598" width="14" style="171" bestFit="1" customWidth="1"/>
    <col min="14599" max="14599" width="10.140625" style="171" bestFit="1" customWidth="1"/>
    <col min="14600" max="14600" width="7.42578125" style="171" bestFit="1" customWidth="1"/>
    <col min="14601" max="14606" width="17.7109375" style="171" bestFit="1" customWidth="1"/>
    <col min="14607" max="14848" width="9.140625" style="171"/>
    <col min="14849" max="14849" width="124.42578125" style="171" bestFit="1" customWidth="1"/>
    <col min="14850" max="14850" width="10.85546875" style="171" bestFit="1" customWidth="1"/>
    <col min="14851" max="14851" width="20.7109375" style="171" bestFit="1" customWidth="1"/>
    <col min="14852" max="14852" width="10.5703125" style="171" bestFit="1" customWidth="1"/>
    <col min="14853" max="14853" width="11.5703125" style="171" bestFit="1" customWidth="1"/>
    <col min="14854" max="14854" width="14" style="171" bestFit="1" customWidth="1"/>
    <col min="14855" max="14855" width="10.140625" style="171" bestFit="1" customWidth="1"/>
    <col min="14856" max="14856" width="7.42578125" style="171" bestFit="1" customWidth="1"/>
    <col min="14857" max="14862" width="17.7109375" style="171" bestFit="1" customWidth="1"/>
    <col min="14863" max="15104" width="9.140625" style="171"/>
    <col min="15105" max="15105" width="124.42578125" style="171" bestFit="1" customWidth="1"/>
    <col min="15106" max="15106" width="10.85546875" style="171" bestFit="1" customWidth="1"/>
    <col min="15107" max="15107" width="20.7109375" style="171" bestFit="1" customWidth="1"/>
    <col min="15108" max="15108" width="10.5703125" style="171" bestFit="1" customWidth="1"/>
    <col min="15109" max="15109" width="11.5703125" style="171" bestFit="1" customWidth="1"/>
    <col min="15110" max="15110" width="14" style="171" bestFit="1" customWidth="1"/>
    <col min="15111" max="15111" width="10.140625" style="171" bestFit="1" customWidth="1"/>
    <col min="15112" max="15112" width="7.42578125" style="171" bestFit="1" customWidth="1"/>
    <col min="15113" max="15118" width="17.7109375" style="171" bestFit="1" customWidth="1"/>
    <col min="15119" max="15360" width="9.140625" style="171"/>
    <col min="15361" max="15361" width="124.42578125" style="171" bestFit="1" customWidth="1"/>
    <col min="15362" max="15362" width="10.85546875" style="171" bestFit="1" customWidth="1"/>
    <col min="15363" max="15363" width="20.7109375" style="171" bestFit="1" customWidth="1"/>
    <col min="15364" max="15364" width="10.5703125" style="171" bestFit="1" customWidth="1"/>
    <col min="15365" max="15365" width="11.5703125" style="171" bestFit="1" customWidth="1"/>
    <col min="15366" max="15366" width="14" style="171" bestFit="1" customWidth="1"/>
    <col min="15367" max="15367" width="10.140625" style="171" bestFit="1" customWidth="1"/>
    <col min="15368" max="15368" width="7.42578125" style="171" bestFit="1" customWidth="1"/>
    <col min="15369" max="15374" width="17.7109375" style="171" bestFit="1" customWidth="1"/>
    <col min="15375" max="15616" width="9.140625" style="171"/>
    <col min="15617" max="15617" width="124.42578125" style="171" bestFit="1" customWidth="1"/>
    <col min="15618" max="15618" width="10.85546875" style="171" bestFit="1" customWidth="1"/>
    <col min="15619" max="15619" width="20.7109375" style="171" bestFit="1" customWidth="1"/>
    <col min="15620" max="15620" width="10.5703125" style="171" bestFit="1" customWidth="1"/>
    <col min="15621" max="15621" width="11.5703125" style="171" bestFit="1" customWidth="1"/>
    <col min="15622" max="15622" width="14" style="171" bestFit="1" customWidth="1"/>
    <col min="15623" max="15623" width="10.140625" style="171" bestFit="1" customWidth="1"/>
    <col min="15624" max="15624" width="7.42578125" style="171" bestFit="1" customWidth="1"/>
    <col min="15625" max="15630" width="17.7109375" style="171" bestFit="1" customWidth="1"/>
    <col min="15631" max="15872" width="9.140625" style="171"/>
    <col min="15873" max="15873" width="124.42578125" style="171" bestFit="1" customWidth="1"/>
    <col min="15874" max="15874" width="10.85546875" style="171" bestFit="1" customWidth="1"/>
    <col min="15875" max="15875" width="20.7109375" style="171" bestFit="1" customWidth="1"/>
    <col min="15876" max="15876" width="10.5703125" style="171" bestFit="1" customWidth="1"/>
    <col min="15877" max="15877" width="11.5703125" style="171" bestFit="1" customWidth="1"/>
    <col min="15878" max="15878" width="14" style="171" bestFit="1" customWidth="1"/>
    <col min="15879" max="15879" width="10.140625" style="171" bestFit="1" customWidth="1"/>
    <col min="15880" max="15880" width="7.42578125" style="171" bestFit="1" customWidth="1"/>
    <col min="15881" max="15886" width="17.7109375" style="171" bestFit="1" customWidth="1"/>
    <col min="15887" max="16128" width="9.140625" style="171"/>
    <col min="16129" max="16129" width="124.42578125" style="171" bestFit="1" customWidth="1"/>
    <col min="16130" max="16130" width="10.85546875" style="171" bestFit="1" customWidth="1"/>
    <col min="16131" max="16131" width="20.7109375" style="171" bestFit="1" customWidth="1"/>
    <col min="16132" max="16132" width="10.5703125" style="171" bestFit="1" customWidth="1"/>
    <col min="16133" max="16133" width="11.5703125" style="171" bestFit="1" customWidth="1"/>
    <col min="16134" max="16134" width="14" style="171" bestFit="1" customWidth="1"/>
    <col min="16135" max="16135" width="10.140625" style="171" bestFit="1" customWidth="1"/>
    <col min="16136" max="16136" width="7.42578125" style="171" bestFit="1" customWidth="1"/>
    <col min="16137" max="16142" width="17.7109375" style="171" bestFit="1" customWidth="1"/>
    <col min="16143" max="16384" width="9.140625" style="171"/>
  </cols>
  <sheetData>
    <row r="5" spans="1:255" ht="15.75">
      <c r="A5" s="170" t="s">
        <v>419</v>
      </c>
    </row>
    <row r="7" spans="1:255">
      <c r="A7" s="173" t="s">
        <v>290</v>
      </c>
      <c r="B7" s="174" t="s">
        <v>291</v>
      </c>
      <c r="C7" s="171" t="s">
        <v>292</v>
      </c>
      <c r="D7" s="175" t="s">
        <v>293</v>
      </c>
      <c r="E7" s="174" t="s">
        <v>294</v>
      </c>
      <c r="F7" s="171" t="s">
        <v>295</v>
      </c>
    </row>
    <row r="8" spans="1:255">
      <c r="A8" s="175"/>
      <c r="B8" s="174" t="s">
        <v>296</v>
      </c>
      <c r="C8" s="171" t="s">
        <v>297</v>
      </c>
      <c r="D8" s="175" t="s">
        <v>293</v>
      </c>
      <c r="E8" s="174" t="s">
        <v>298</v>
      </c>
      <c r="F8" s="171" t="s">
        <v>299</v>
      </c>
    </row>
    <row r="9" spans="1:255">
      <c r="A9" s="175"/>
      <c r="B9" s="174" t="s">
        <v>300</v>
      </c>
      <c r="C9" s="171" t="s">
        <v>301</v>
      </c>
      <c r="D9" s="175" t="s">
        <v>293</v>
      </c>
      <c r="E9" s="174" t="s">
        <v>302</v>
      </c>
      <c r="F9" s="171" t="s">
        <v>303</v>
      </c>
    </row>
    <row r="10" spans="1:255">
      <c r="A10" s="175"/>
      <c r="B10" s="174" t="s">
        <v>304</v>
      </c>
      <c r="C10" s="171" t="s">
        <v>305</v>
      </c>
      <c r="D10" s="175" t="s">
        <v>293</v>
      </c>
      <c r="E10" s="174" t="s">
        <v>306</v>
      </c>
      <c r="F10" s="177" t="s">
        <v>307</v>
      </c>
    </row>
    <row r="11" spans="1:255">
      <c r="A11" s="175"/>
      <c r="B11" s="174" t="s">
        <v>308</v>
      </c>
      <c r="C11" s="171" t="s">
        <v>309</v>
      </c>
      <c r="D11" s="175" t="s">
        <v>293</v>
      </c>
      <c r="E11" s="179"/>
      <c r="F11" s="179"/>
    </row>
    <row r="14" spans="1:255">
      <c r="A14" s="180" t="s">
        <v>420</v>
      </c>
      <c r="B14" s="180"/>
      <c r="C14" s="180"/>
      <c r="D14" s="180"/>
      <c r="E14" s="180"/>
      <c r="F14" s="180"/>
      <c r="G14" s="180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182"/>
      <c r="BN14" s="182"/>
      <c r="BO14" s="182"/>
      <c r="BP14" s="182"/>
      <c r="BQ14" s="182"/>
      <c r="BR14" s="182"/>
      <c r="BS14" s="182"/>
      <c r="BT14" s="182"/>
      <c r="BU14" s="182"/>
      <c r="BV14" s="182"/>
      <c r="BW14" s="182"/>
      <c r="BX14" s="182"/>
      <c r="BY14" s="182"/>
      <c r="BZ14" s="182"/>
      <c r="CA14" s="182"/>
      <c r="CB14" s="182"/>
      <c r="CC14" s="182"/>
      <c r="CD14" s="182"/>
      <c r="CE14" s="182"/>
      <c r="CF14" s="182"/>
      <c r="CG14" s="182"/>
      <c r="CH14" s="182"/>
      <c r="CI14" s="182"/>
      <c r="CJ14" s="182"/>
      <c r="CK14" s="182"/>
      <c r="CL14" s="182"/>
      <c r="CM14" s="182"/>
      <c r="CN14" s="182"/>
      <c r="CO14" s="182"/>
      <c r="CP14" s="182"/>
      <c r="CQ14" s="182"/>
      <c r="CR14" s="182"/>
      <c r="CS14" s="182"/>
      <c r="CT14" s="182"/>
      <c r="CU14" s="182"/>
      <c r="CV14" s="182"/>
      <c r="CW14" s="182"/>
      <c r="CX14" s="182"/>
      <c r="CY14" s="182"/>
      <c r="CZ14" s="182"/>
      <c r="DA14" s="182"/>
      <c r="DB14" s="182"/>
      <c r="DC14" s="182"/>
      <c r="DD14" s="182"/>
      <c r="DE14" s="182"/>
      <c r="DF14" s="182"/>
      <c r="DG14" s="182"/>
      <c r="DH14" s="182"/>
      <c r="DI14" s="182"/>
      <c r="DJ14" s="182"/>
      <c r="DK14" s="182"/>
      <c r="DL14" s="182"/>
      <c r="DM14" s="182"/>
      <c r="DN14" s="182"/>
      <c r="DO14" s="182"/>
      <c r="DP14" s="182"/>
      <c r="DQ14" s="182"/>
      <c r="DR14" s="182"/>
      <c r="DS14" s="182"/>
      <c r="DT14" s="182"/>
      <c r="DU14" s="182"/>
      <c r="DV14" s="182"/>
      <c r="DW14" s="182"/>
      <c r="DX14" s="182"/>
      <c r="DY14" s="182"/>
      <c r="DZ14" s="182"/>
      <c r="EA14" s="182"/>
      <c r="EB14" s="182"/>
      <c r="EC14" s="182"/>
      <c r="ED14" s="182"/>
      <c r="EE14" s="182"/>
      <c r="EF14" s="182"/>
      <c r="EG14" s="182"/>
      <c r="EH14" s="182"/>
      <c r="EI14" s="182"/>
      <c r="EJ14" s="182"/>
      <c r="EK14" s="182"/>
      <c r="EL14" s="182"/>
      <c r="EM14" s="182"/>
      <c r="EN14" s="182"/>
      <c r="EO14" s="182"/>
      <c r="EP14" s="182"/>
      <c r="EQ14" s="182"/>
      <c r="ER14" s="182"/>
      <c r="ES14" s="182"/>
      <c r="ET14" s="182"/>
      <c r="EU14" s="182"/>
      <c r="EV14" s="182"/>
      <c r="EW14" s="182"/>
      <c r="EX14" s="182"/>
      <c r="EY14" s="182"/>
      <c r="EZ14" s="182"/>
      <c r="FA14" s="182"/>
      <c r="FB14" s="182"/>
      <c r="FC14" s="182"/>
      <c r="FD14" s="182"/>
      <c r="FE14" s="182"/>
      <c r="FF14" s="182"/>
      <c r="FG14" s="182"/>
      <c r="FH14" s="182"/>
      <c r="FI14" s="182"/>
      <c r="FJ14" s="182"/>
      <c r="FK14" s="182"/>
      <c r="FL14" s="182"/>
      <c r="FM14" s="182"/>
      <c r="FN14" s="182"/>
      <c r="FO14" s="182"/>
      <c r="FP14" s="182"/>
      <c r="FQ14" s="182"/>
      <c r="FR14" s="182"/>
      <c r="FS14" s="182"/>
      <c r="FT14" s="182"/>
      <c r="FU14" s="182"/>
      <c r="FV14" s="182"/>
      <c r="FW14" s="182"/>
      <c r="FX14" s="182"/>
      <c r="FY14" s="182"/>
      <c r="FZ14" s="182"/>
      <c r="GA14" s="182"/>
      <c r="GB14" s="182"/>
      <c r="GC14" s="182"/>
      <c r="GD14" s="182"/>
      <c r="GE14" s="182"/>
      <c r="GF14" s="182"/>
      <c r="GG14" s="182"/>
      <c r="GH14" s="182"/>
      <c r="GI14" s="182"/>
      <c r="GJ14" s="182"/>
      <c r="GK14" s="182"/>
      <c r="GL14" s="182"/>
      <c r="GM14" s="182"/>
      <c r="GN14" s="182"/>
      <c r="GO14" s="182"/>
      <c r="GP14" s="182"/>
      <c r="GQ14" s="182"/>
      <c r="GR14" s="182"/>
      <c r="GS14" s="182"/>
      <c r="GT14" s="182"/>
      <c r="GU14" s="182"/>
      <c r="GV14" s="182"/>
      <c r="GW14" s="182"/>
      <c r="GX14" s="182"/>
      <c r="GY14" s="182"/>
      <c r="GZ14" s="182"/>
      <c r="HA14" s="182"/>
      <c r="HB14" s="182"/>
      <c r="HC14" s="182"/>
      <c r="HD14" s="182"/>
      <c r="HE14" s="182"/>
      <c r="HF14" s="182"/>
      <c r="HG14" s="182"/>
      <c r="HH14" s="182"/>
      <c r="HI14" s="182"/>
      <c r="HJ14" s="182"/>
      <c r="HK14" s="182"/>
      <c r="HL14" s="182"/>
      <c r="HM14" s="182"/>
      <c r="HN14" s="182"/>
      <c r="HO14" s="182"/>
      <c r="HP14" s="182"/>
      <c r="HQ14" s="182"/>
      <c r="HR14" s="182"/>
      <c r="HS14" s="182"/>
      <c r="HT14" s="182"/>
      <c r="HU14" s="182"/>
      <c r="HV14" s="182"/>
      <c r="HW14" s="182"/>
      <c r="HX14" s="182"/>
      <c r="HY14" s="182"/>
      <c r="HZ14" s="182"/>
      <c r="IA14" s="182"/>
      <c r="IB14" s="182"/>
      <c r="IC14" s="182"/>
      <c r="ID14" s="182"/>
      <c r="IE14" s="182"/>
      <c r="IF14" s="182"/>
      <c r="IG14" s="182"/>
      <c r="IH14" s="182"/>
      <c r="II14" s="182"/>
      <c r="IJ14" s="182"/>
      <c r="IK14" s="182"/>
      <c r="IL14" s="182"/>
      <c r="IM14" s="182"/>
      <c r="IN14" s="182"/>
      <c r="IO14" s="182"/>
      <c r="IP14" s="182"/>
      <c r="IQ14" s="182"/>
      <c r="IR14" s="182"/>
      <c r="IS14" s="182"/>
      <c r="IT14" s="182"/>
      <c r="IU14" s="182"/>
    </row>
    <row r="15" spans="1:255" ht="22.5">
      <c r="A15" s="183" t="s">
        <v>421</v>
      </c>
      <c r="B15" s="226">
        <v>43100</v>
      </c>
      <c r="C15" s="226">
        <v>43465</v>
      </c>
      <c r="D15" s="184" t="s">
        <v>422</v>
      </c>
      <c r="E15" s="226">
        <v>44196</v>
      </c>
      <c r="F15" s="226">
        <v>44561</v>
      </c>
      <c r="G15" s="226">
        <v>44926</v>
      </c>
    </row>
    <row r="16" spans="1:255">
      <c r="A16" s="186" t="s">
        <v>144</v>
      </c>
      <c r="B16" s="187" t="s">
        <v>318</v>
      </c>
      <c r="C16" s="187" t="s">
        <v>318</v>
      </c>
      <c r="D16" s="187" t="s">
        <v>318</v>
      </c>
      <c r="E16" s="187" t="s">
        <v>318</v>
      </c>
      <c r="F16" s="187" t="s">
        <v>318</v>
      </c>
      <c r="G16" s="187" t="s">
        <v>318</v>
      </c>
    </row>
    <row r="17" spans="1:7">
      <c r="A17" s="189" t="s">
        <v>423</v>
      </c>
      <c r="B17" s="175"/>
      <c r="C17" s="175"/>
      <c r="D17" s="175"/>
      <c r="E17" s="175"/>
      <c r="F17" s="175"/>
      <c r="G17" s="175"/>
    </row>
    <row r="18" spans="1:7">
      <c r="A18" s="175" t="s">
        <v>424</v>
      </c>
      <c r="B18" s="191">
        <v>2822.7950000000001</v>
      </c>
      <c r="C18" s="191">
        <v>3794.4830000000002</v>
      </c>
      <c r="D18" s="191">
        <v>5018.4369999999999</v>
      </c>
      <c r="E18" s="191">
        <v>8205.5499999999993</v>
      </c>
      <c r="F18" s="191">
        <v>6027.8040000000001</v>
      </c>
      <c r="G18" s="191">
        <v>5147.1760000000004</v>
      </c>
    </row>
    <row r="19" spans="1:7">
      <c r="A19" s="175" t="s">
        <v>425</v>
      </c>
      <c r="B19" s="191" t="s">
        <v>100</v>
      </c>
      <c r="C19" s="191" t="s">
        <v>100</v>
      </c>
      <c r="D19" s="191" t="s">
        <v>100</v>
      </c>
      <c r="E19" s="191" t="s">
        <v>100</v>
      </c>
      <c r="F19" s="191" t="s">
        <v>100</v>
      </c>
      <c r="G19" s="191">
        <v>911.27599999999995</v>
      </c>
    </row>
    <row r="20" spans="1:7">
      <c r="A20" s="189" t="s">
        <v>426</v>
      </c>
      <c r="B20" s="194">
        <v>2822.7950000000001</v>
      </c>
      <c r="C20" s="194">
        <v>3794.4830000000002</v>
      </c>
      <c r="D20" s="194">
        <v>5018.4369999999999</v>
      </c>
      <c r="E20" s="194">
        <v>8205.5499999999993</v>
      </c>
      <c r="F20" s="194">
        <v>6027.8040000000001</v>
      </c>
      <c r="G20" s="194">
        <v>6058.4520000000002</v>
      </c>
    </row>
    <row r="21" spans="1:7">
      <c r="A21" s="175"/>
      <c r="B21" s="175"/>
      <c r="C21" s="175"/>
      <c r="D21" s="175"/>
      <c r="E21" s="175"/>
      <c r="F21" s="175"/>
      <c r="G21" s="175"/>
    </row>
    <row r="22" spans="1:7">
      <c r="A22" s="175" t="s">
        <v>427</v>
      </c>
      <c r="B22" s="191" t="s">
        <v>100</v>
      </c>
      <c r="C22" s="191">
        <v>362.71199999999999</v>
      </c>
      <c r="D22" s="191">
        <v>454.399</v>
      </c>
      <c r="E22" s="191">
        <v>610.81899999999996</v>
      </c>
      <c r="F22" s="191">
        <v>804.32</v>
      </c>
      <c r="G22" s="191">
        <v>988.89800000000002</v>
      </c>
    </row>
    <row r="23" spans="1:7">
      <c r="A23" s="175" t="s">
        <v>428</v>
      </c>
      <c r="B23" s="191" t="s">
        <v>100</v>
      </c>
      <c r="C23" s="191">
        <v>206.92099999999999</v>
      </c>
      <c r="D23" s="191" t="s">
        <v>100</v>
      </c>
      <c r="E23" s="191" t="s">
        <v>100</v>
      </c>
      <c r="F23" s="191" t="s">
        <v>100</v>
      </c>
      <c r="G23" s="191" t="s">
        <v>100</v>
      </c>
    </row>
    <row r="24" spans="1:7">
      <c r="A24" s="189" t="s">
        <v>429</v>
      </c>
      <c r="B24" s="194" t="s">
        <v>100</v>
      </c>
      <c r="C24" s="194">
        <v>569.63300000000004</v>
      </c>
      <c r="D24" s="194">
        <v>454.399</v>
      </c>
      <c r="E24" s="194">
        <v>610.81899999999996</v>
      </c>
      <c r="F24" s="194">
        <v>804.32</v>
      </c>
      <c r="G24" s="194">
        <v>988.89800000000002</v>
      </c>
    </row>
    <row r="25" spans="1:7">
      <c r="A25" s="175"/>
      <c r="B25" s="175"/>
      <c r="C25" s="175"/>
      <c r="D25" s="175"/>
      <c r="E25" s="175"/>
      <c r="F25" s="175"/>
      <c r="G25" s="175"/>
    </row>
    <row r="26" spans="1:7">
      <c r="A26" s="175" t="s">
        <v>430</v>
      </c>
      <c r="B26" s="191" t="s">
        <v>100</v>
      </c>
      <c r="C26" s="191">
        <v>178.833</v>
      </c>
      <c r="D26" s="191">
        <v>180.999</v>
      </c>
      <c r="E26" s="191">
        <v>203.042</v>
      </c>
      <c r="F26" s="191">
        <v>323.81799999999998</v>
      </c>
      <c r="G26" s="191">
        <v>392.73500000000001</v>
      </c>
    </row>
    <row r="27" spans="1:7">
      <c r="A27" s="175" t="s">
        <v>431</v>
      </c>
      <c r="B27" s="191" t="s">
        <v>100</v>
      </c>
      <c r="C27" s="191" t="s">
        <v>100</v>
      </c>
      <c r="D27" s="191" t="s">
        <v>100</v>
      </c>
      <c r="E27" s="191" t="s">
        <v>100</v>
      </c>
      <c r="F27" s="191">
        <v>3.1890000000000001</v>
      </c>
      <c r="G27" s="191">
        <v>3.41</v>
      </c>
    </row>
    <row r="28" spans="1:7">
      <c r="A28" s="175" t="s">
        <v>432</v>
      </c>
      <c r="B28" s="191">
        <v>4847.1790000000001</v>
      </c>
      <c r="C28" s="191">
        <v>5151.1859999999997</v>
      </c>
      <c r="D28" s="191">
        <v>524.66899999999998</v>
      </c>
      <c r="E28" s="191">
        <v>742.16899999999998</v>
      </c>
      <c r="F28" s="191">
        <v>910.69399999999996</v>
      </c>
      <c r="G28" s="191">
        <v>1822.9780000000001</v>
      </c>
    </row>
    <row r="29" spans="1:7">
      <c r="A29" s="189" t="s">
        <v>433</v>
      </c>
      <c r="B29" s="194">
        <v>7669.9740000000002</v>
      </c>
      <c r="C29" s="194">
        <v>9694.1350000000002</v>
      </c>
      <c r="D29" s="194">
        <v>6178.5039999999999</v>
      </c>
      <c r="E29" s="194">
        <v>9761.58</v>
      </c>
      <c r="F29" s="194">
        <v>8069.8249999999998</v>
      </c>
      <c r="G29" s="194">
        <v>9266.473</v>
      </c>
    </row>
    <row r="30" spans="1:7">
      <c r="A30" s="175"/>
      <c r="B30" s="227">
        <f>B29-B20</f>
        <v>4847.1790000000001</v>
      </c>
      <c r="C30" s="227">
        <f>C29-C20</f>
        <v>5899.652</v>
      </c>
      <c r="D30" s="227">
        <f t="shared" ref="D30:G30" si="0">D29-D20</f>
        <v>1160.067</v>
      </c>
      <c r="E30" s="227">
        <f t="shared" si="0"/>
        <v>1556.0300000000007</v>
      </c>
      <c r="F30" s="227">
        <f t="shared" si="0"/>
        <v>2042.0209999999997</v>
      </c>
      <c r="G30" s="227">
        <f t="shared" si="0"/>
        <v>3208.0209999999997</v>
      </c>
    </row>
    <row r="31" spans="1:7">
      <c r="A31" s="175" t="s">
        <v>434</v>
      </c>
      <c r="B31" s="191">
        <v>641.21799999999996</v>
      </c>
      <c r="C31" s="191">
        <v>786.8</v>
      </c>
      <c r="D31" s="191">
        <v>2513.511</v>
      </c>
      <c r="E31" s="191">
        <v>3492.6990000000001</v>
      </c>
      <c r="F31" s="191">
        <v>4386.3320000000003</v>
      </c>
      <c r="G31" s="191">
        <v>4379.12</v>
      </c>
    </row>
    <row r="32" spans="1:7">
      <c r="A32" s="175" t="s">
        <v>435</v>
      </c>
      <c r="B32" s="191">
        <v>-321.8</v>
      </c>
      <c r="C32" s="191">
        <v>-368.5</v>
      </c>
      <c r="D32" s="191">
        <v>-416</v>
      </c>
      <c r="E32" s="191">
        <v>-494.8</v>
      </c>
      <c r="F32" s="191">
        <v>-616.29999999999995</v>
      </c>
      <c r="G32" s="191">
        <v>-753.7</v>
      </c>
    </row>
    <row r="33" spans="1:7">
      <c r="A33" s="189" t="s">
        <v>436</v>
      </c>
      <c r="B33" s="194">
        <v>319.404</v>
      </c>
      <c r="C33" s="194">
        <v>418.28100000000001</v>
      </c>
      <c r="D33" s="194">
        <v>2097.5059999999999</v>
      </c>
      <c r="E33" s="194">
        <v>2997.9090000000001</v>
      </c>
      <c r="F33" s="194">
        <v>3770.0259999999998</v>
      </c>
      <c r="G33" s="194">
        <v>3625.3789999999999</v>
      </c>
    </row>
    <row r="34" spans="1:7">
      <c r="A34" s="175"/>
      <c r="B34" s="175"/>
      <c r="C34" s="175"/>
      <c r="D34" s="175"/>
      <c r="E34" s="175"/>
      <c r="F34" s="175"/>
      <c r="G34" s="175"/>
    </row>
    <row r="35" spans="1:7">
      <c r="A35" s="175" t="s">
        <v>437</v>
      </c>
      <c r="B35" s="191">
        <v>10371.055</v>
      </c>
      <c r="C35" s="191">
        <v>14951.141</v>
      </c>
      <c r="D35" s="191">
        <v>14703.352000000001</v>
      </c>
      <c r="E35" s="191">
        <v>13747.607</v>
      </c>
      <c r="F35" s="191">
        <v>13799.221</v>
      </c>
      <c r="G35" s="191">
        <v>12732.549000000001</v>
      </c>
    </row>
    <row r="36" spans="1:7">
      <c r="A36" s="175" t="s">
        <v>438</v>
      </c>
      <c r="B36" s="191">
        <v>478.26600000000002</v>
      </c>
      <c r="C36" s="191">
        <v>564.42499999999995</v>
      </c>
      <c r="D36" s="191">
        <v>658.20600000000002</v>
      </c>
      <c r="E36" s="191">
        <v>589.09100000000001</v>
      </c>
      <c r="F36" s="191">
        <v>148.095</v>
      </c>
      <c r="G36" s="191">
        <v>261.541</v>
      </c>
    </row>
    <row r="37" spans="1:7">
      <c r="A37" s="175" t="s">
        <v>439</v>
      </c>
      <c r="B37" s="191">
        <v>174.04300000000001</v>
      </c>
      <c r="C37" s="191">
        <v>346.41800000000001</v>
      </c>
      <c r="D37" s="191">
        <v>10338.144</v>
      </c>
      <c r="E37" s="191">
        <v>12184.172</v>
      </c>
      <c r="F37" s="191">
        <v>18797.495999999999</v>
      </c>
      <c r="G37" s="191">
        <v>22708.826000000001</v>
      </c>
    </row>
    <row r="38" spans="1:7">
      <c r="A38" s="189" t="s">
        <v>440</v>
      </c>
      <c r="B38" s="208">
        <v>19012.741999999998</v>
      </c>
      <c r="C38" s="208">
        <v>25974.400000000001</v>
      </c>
      <c r="D38" s="208">
        <v>33975.712</v>
      </c>
      <c r="E38" s="208">
        <v>39280.358999999997</v>
      </c>
      <c r="F38" s="208">
        <v>44584.663</v>
      </c>
      <c r="G38" s="208">
        <v>48594.767999999996</v>
      </c>
    </row>
    <row r="39" spans="1:7">
      <c r="A39" s="175"/>
      <c r="B39" s="175"/>
      <c r="C39" s="175"/>
      <c r="D39" s="175"/>
      <c r="E39" s="175"/>
      <c r="F39" s="175"/>
      <c r="G39" s="175"/>
    </row>
    <row r="40" spans="1:7">
      <c r="A40" s="189" t="s">
        <v>441</v>
      </c>
      <c r="B40" s="175"/>
      <c r="C40" s="175"/>
      <c r="D40" s="175"/>
      <c r="E40" s="175"/>
      <c r="F40" s="175"/>
      <c r="G40" s="175"/>
    </row>
    <row r="41" spans="1:7">
      <c r="A41" s="175" t="s">
        <v>442</v>
      </c>
      <c r="B41" s="191">
        <v>359.55500000000001</v>
      </c>
      <c r="C41" s="191">
        <v>562.98500000000001</v>
      </c>
      <c r="D41" s="191">
        <v>674.34699999999998</v>
      </c>
      <c r="E41" s="191">
        <v>656.18299999999999</v>
      </c>
      <c r="F41" s="191">
        <v>837.48299999999995</v>
      </c>
      <c r="G41" s="191">
        <v>671.51300000000003</v>
      </c>
    </row>
    <row r="42" spans="1:7">
      <c r="A42" s="175" t="s">
        <v>443</v>
      </c>
      <c r="B42" s="191">
        <v>315.09399999999999</v>
      </c>
      <c r="C42" s="191">
        <v>481.87400000000002</v>
      </c>
      <c r="D42" s="191">
        <v>652.42100000000005</v>
      </c>
      <c r="E42" s="191">
        <v>845.97400000000005</v>
      </c>
      <c r="F42" s="191">
        <v>1134.162</v>
      </c>
      <c r="G42" s="191">
        <v>1158.665</v>
      </c>
    </row>
    <row r="43" spans="1:7">
      <c r="A43" s="175" t="s">
        <v>444</v>
      </c>
      <c r="B43" s="191">
        <v>0</v>
      </c>
      <c r="C43" s="191">
        <v>0</v>
      </c>
      <c r="D43" s="191">
        <v>0</v>
      </c>
      <c r="E43" s="191">
        <v>499.87799999999999</v>
      </c>
      <c r="F43" s="191">
        <v>699.82299999999998</v>
      </c>
      <c r="G43" s="191">
        <v>0</v>
      </c>
    </row>
    <row r="44" spans="1:7">
      <c r="A44" s="175" t="s">
        <v>445</v>
      </c>
      <c r="B44" s="191">
        <v>0</v>
      </c>
      <c r="C44" s="191">
        <v>0</v>
      </c>
      <c r="D44" s="191">
        <v>190.62200000000001</v>
      </c>
      <c r="E44" s="191">
        <v>256.22199999999998</v>
      </c>
      <c r="F44" s="191">
        <v>315.18900000000002</v>
      </c>
      <c r="G44" s="191">
        <v>355.98500000000001</v>
      </c>
    </row>
    <row r="45" spans="1:7">
      <c r="A45" s="175" t="s">
        <v>446</v>
      </c>
      <c r="B45" s="191">
        <v>618.62199999999996</v>
      </c>
      <c r="C45" s="191">
        <v>760.899</v>
      </c>
      <c r="D45" s="191">
        <v>924.745</v>
      </c>
      <c r="E45" s="191">
        <v>1117.992</v>
      </c>
      <c r="F45" s="191">
        <v>1209.3420000000001</v>
      </c>
      <c r="G45" s="191">
        <v>1264.6610000000001</v>
      </c>
    </row>
    <row r="46" spans="1:7">
      <c r="A46" s="175" t="s">
        <v>447</v>
      </c>
      <c r="B46" s="191">
        <v>4173.0410000000002</v>
      </c>
      <c r="C46" s="191">
        <v>4681.5619999999999</v>
      </c>
      <c r="D46" s="191">
        <v>4413.5609999999997</v>
      </c>
      <c r="E46" s="191">
        <v>4429.5360000000001</v>
      </c>
      <c r="F46" s="191">
        <v>4292.9669999999996</v>
      </c>
      <c r="G46" s="191">
        <v>4480.1499999999996</v>
      </c>
    </row>
    <row r="47" spans="1:7">
      <c r="A47" s="189" t="s">
        <v>448</v>
      </c>
      <c r="B47" s="194">
        <v>5466.3119999999999</v>
      </c>
      <c r="C47" s="194">
        <v>6487.32</v>
      </c>
      <c r="D47" s="194">
        <v>6855.6959999999999</v>
      </c>
      <c r="E47" s="194">
        <v>7805.7849999999999</v>
      </c>
      <c r="F47" s="194">
        <v>8488.9660000000003</v>
      </c>
      <c r="G47" s="194">
        <v>7930.9740000000002</v>
      </c>
    </row>
    <row r="48" spans="1:7">
      <c r="A48" s="175"/>
      <c r="B48" s="175">
        <f>B47-B43-B44</f>
        <v>5466.3119999999999</v>
      </c>
      <c r="C48" s="175">
        <f t="shared" ref="C48:G48" si="1">C47-C43-C44</f>
        <v>6487.32</v>
      </c>
      <c r="D48" s="175">
        <f t="shared" si="1"/>
        <v>6665.0739999999996</v>
      </c>
      <c r="E48" s="175">
        <f t="shared" si="1"/>
        <v>7049.6850000000004</v>
      </c>
      <c r="F48" s="175">
        <f t="shared" si="1"/>
        <v>7473.9539999999997</v>
      </c>
      <c r="G48" s="175">
        <f t="shared" si="1"/>
        <v>7574.9890000000005</v>
      </c>
    </row>
    <row r="49" spans="1:9">
      <c r="A49" s="175"/>
      <c r="B49" s="227">
        <f>B30-B48</f>
        <v>-619.13299999999981</v>
      </c>
      <c r="C49" s="227">
        <f t="shared" ref="C49:G49" si="2">C30-C48</f>
        <v>-587.66799999999967</v>
      </c>
      <c r="D49" s="227">
        <f t="shared" si="2"/>
        <v>-5505.0069999999996</v>
      </c>
      <c r="E49" s="227">
        <f t="shared" si="2"/>
        <v>-5493.6549999999997</v>
      </c>
      <c r="F49" s="227">
        <f t="shared" si="2"/>
        <v>-5431.933</v>
      </c>
      <c r="G49" s="227">
        <f t="shared" si="2"/>
        <v>-4366.9680000000008</v>
      </c>
    </row>
    <row r="50" spans="1:9">
      <c r="A50" s="175"/>
      <c r="B50" s="175"/>
      <c r="C50" s="228">
        <f>(C49-B49)</f>
        <v>31.465000000000146</v>
      </c>
      <c r="D50" s="228">
        <f t="shared" ref="D50:G50" si="3">(D49-C49)</f>
        <v>-4917.3389999999999</v>
      </c>
      <c r="E50" s="228">
        <f t="shared" si="3"/>
        <v>11.351999999999862</v>
      </c>
      <c r="F50" s="228">
        <f t="shared" si="3"/>
        <v>61.721999999999753</v>
      </c>
      <c r="G50" s="228">
        <f t="shared" si="3"/>
        <v>1064.9649999999992</v>
      </c>
      <c r="H50" s="193">
        <f>AVERAGE(C50:G50)</f>
        <v>-749.56700000000023</v>
      </c>
      <c r="I50" s="171">
        <v>-749.56700000000023</v>
      </c>
    </row>
    <row r="51" spans="1:9">
      <c r="A51" s="175" t="s">
        <v>449</v>
      </c>
      <c r="B51" s="191">
        <v>6499.4319999999998</v>
      </c>
      <c r="C51" s="191">
        <v>10360.058000000001</v>
      </c>
      <c r="D51" s="191">
        <v>14759.26</v>
      </c>
      <c r="E51" s="191">
        <v>15809.094999999999</v>
      </c>
      <c r="F51" s="191">
        <v>14693.072</v>
      </c>
      <c r="G51" s="191">
        <v>14353.075999999999</v>
      </c>
    </row>
    <row r="52" spans="1:9">
      <c r="A52" s="175" t="s">
        <v>450</v>
      </c>
      <c r="B52" s="191" t="s">
        <v>100</v>
      </c>
      <c r="C52" s="191" t="s">
        <v>100</v>
      </c>
      <c r="D52" s="191">
        <v>1422.6120000000001</v>
      </c>
      <c r="E52" s="191">
        <v>1945.6310000000001</v>
      </c>
      <c r="F52" s="191">
        <v>2408.4859999999999</v>
      </c>
      <c r="G52" s="191">
        <v>2222.5030000000002</v>
      </c>
    </row>
    <row r="53" spans="1:9">
      <c r="A53" s="175" t="s">
        <v>451</v>
      </c>
      <c r="B53" s="191">
        <v>3465.0419999999999</v>
      </c>
      <c r="C53" s="191">
        <v>3888.2570000000001</v>
      </c>
      <c r="D53" s="191">
        <v>3355.9870000000001</v>
      </c>
      <c r="E53" s="191">
        <v>2654.6080000000002</v>
      </c>
      <c r="F53" s="191">
        <v>3144.8910000000001</v>
      </c>
      <c r="G53" s="191">
        <v>3310.8139999999999</v>
      </c>
    </row>
    <row r="54" spans="1:9">
      <c r="A54" s="189" t="s">
        <v>452</v>
      </c>
      <c r="B54" s="194">
        <v>15430.786</v>
      </c>
      <c r="C54" s="194">
        <v>20735.634999999998</v>
      </c>
      <c r="D54" s="194">
        <v>26393.555</v>
      </c>
      <c r="E54" s="194">
        <v>28215.118999999999</v>
      </c>
      <c r="F54" s="194">
        <v>28735.415000000001</v>
      </c>
      <c r="G54" s="194">
        <v>27817.366999999998</v>
      </c>
    </row>
    <row r="55" spans="1:9">
      <c r="A55" s="175"/>
      <c r="B55" s="175"/>
      <c r="C55" s="175"/>
      <c r="D55" s="175"/>
      <c r="E55" s="175"/>
      <c r="F55" s="175"/>
      <c r="G55" s="175"/>
    </row>
    <row r="56" spans="1:9">
      <c r="A56" s="175" t="s">
        <v>453</v>
      </c>
      <c r="B56" s="191">
        <v>1871.396</v>
      </c>
      <c r="C56" s="191">
        <v>2315.9879999999998</v>
      </c>
      <c r="D56" s="191">
        <v>2793.9290000000001</v>
      </c>
      <c r="E56" s="191">
        <v>3447.6979999999999</v>
      </c>
      <c r="F56" s="191">
        <v>4024.5610000000001</v>
      </c>
      <c r="G56" s="191">
        <v>4637.6009999999997</v>
      </c>
    </row>
    <row r="57" spans="1:9">
      <c r="A57" s="175" t="s">
        <v>454</v>
      </c>
      <c r="B57" s="191" t="s">
        <v>100</v>
      </c>
      <c r="C57" s="191" t="s">
        <v>100</v>
      </c>
      <c r="D57" s="191" t="s">
        <v>100</v>
      </c>
      <c r="E57" s="191" t="s">
        <v>100</v>
      </c>
      <c r="F57" s="191" t="s">
        <v>100</v>
      </c>
      <c r="G57" s="191" t="s">
        <v>100</v>
      </c>
    </row>
    <row r="58" spans="1:9">
      <c r="A58" s="175" t="s">
        <v>455</v>
      </c>
      <c r="B58" s="191">
        <v>1731.117</v>
      </c>
      <c r="C58" s="191">
        <v>2942.3589999999999</v>
      </c>
      <c r="D58" s="191">
        <v>4811.7489999999998</v>
      </c>
      <c r="E58" s="191">
        <v>7573.1440000000002</v>
      </c>
      <c r="F58" s="191">
        <v>12689.371999999999</v>
      </c>
      <c r="G58" s="191">
        <v>17181.295999999998</v>
      </c>
    </row>
    <row r="59" spans="1:9">
      <c r="A59" s="175" t="s">
        <v>456</v>
      </c>
      <c r="B59" s="191" t="s">
        <v>100</v>
      </c>
      <c r="C59" s="191" t="s">
        <v>100</v>
      </c>
      <c r="D59" s="191" t="s">
        <v>100</v>
      </c>
      <c r="E59" s="191" t="s">
        <v>100</v>
      </c>
      <c r="F59" s="191">
        <v>-824.2</v>
      </c>
      <c r="G59" s="191">
        <v>-824.2</v>
      </c>
    </row>
    <row r="60" spans="1:9">
      <c r="A60" s="175" t="s">
        <v>457</v>
      </c>
      <c r="B60" s="191">
        <v>-20.6</v>
      </c>
      <c r="C60" s="191">
        <v>-19.600000000000001</v>
      </c>
      <c r="D60" s="191">
        <v>-23.5</v>
      </c>
      <c r="E60" s="191">
        <v>44.398000000000003</v>
      </c>
      <c r="F60" s="191">
        <v>-40.5</v>
      </c>
      <c r="G60" s="191">
        <v>-217.3</v>
      </c>
    </row>
    <row r="61" spans="1:9">
      <c r="A61" s="189" t="s">
        <v>458</v>
      </c>
      <c r="B61" s="194">
        <v>3581.9560000000001</v>
      </c>
      <c r="C61" s="194">
        <v>5238.7650000000003</v>
      </c>
      <c r="D61" s="194">
        <v>7582.1570000000002</v>
      </c>
      <c r="E61" s="194">
        <v>11065.24</v>
      </c>
      <c r="F61" s="194">
        <v>15849.248</v>
      </c>
      <c r="G61" s="194">
        <v>20777.401000000002</v>
      </c>
    </row>
    <row r="62" spans="1:9">
      <c r="A62" s="175"/>
      <c r="B62" s="175"/>
      <c r="C62" s="175"/>
      <c r="D62" s="175"/>
      <c r="E62" s="175"/>
      <c r="F62" s="175"/>
      <c r="G62" s="175"/>
    </row>
    <row r="63" spans="1:9">
      <c r="A63" s="189" t="s">
        <v>459</v>
      </c>
      <c r="B63" s="229">
        <v>3581.9560000000001</v>
      </c>
      <c r="C63" s="229">
        <v>5238.7650000000003</v>
      </c>
      <c r="D63" s="229">
        <v>7582.1570000000002</v>
      </c>
      <c r="E63" s="229">
        <v>11065.24</v>
      </c>
      <c r="F63" s="229">
        <v>15849.248</v>
      </c>
      <c r="G63" s="229">
        <v>20777.401000000002</v>
      </c>
    </row>
    <row r="64" spans="1:9">
      <c r="A64" s="175"/>
      <c r="B64" s="175"/>
      <c r="C64" s="175"/>
      <c r="D64" s="175"/>
      <c r="E64" s="175"/>
      <c r="F64" s="175"/>
      <c r="G64" s="175"/>
    </row>
    <row r="65" spans="1:14">
      <c r="A65" s="189" t="s">
        <v>460</v>
      </c>
      <c r="B65" s="230">
        <v>19012.741999999998</v>
      </c>
      <c r="C65" s="230">
        <v>25974.400000000001</v>
      </c>
      <c r="D65" s="230">
        <v>33975.712</v>
      </c>
      <c r="E65" s="230">
        <v>39280.358999999997</v>
      </c>
      <c r="F65" s="230">
        <v>44584.663</v>
      </c>
      <c r="G65" s="230">
        <v>48594.767999999996</v>
      </c>
    </row>
    <row r="66" spans="1:14">
      <c r="A66" s="175"/>
      <c r="B66" s="175"/>
      <c r="C66" s="175"/>
      <c r="D66" s="175"/>
      <c r="E66" s="175"/>
      <c r="F66" s="175"/>
      <c r="G66" s="175"/>
    </row>
    <row r="67" spans="1:14">
      <c r="A67" s="189" t="s">
        <v>369</v>
      </c>
      <c r="B67" s="175"/>
      <c r="C67" s="175"/>
      <c r="D67" s="175"/>
      <c r="E67" s="175"/>
      <c r="F67" s="175"/>
      <c r="G67" s="175"/>
    </row>
    <row r="68" spans="1:14">
      <c r="A68" s="175" t="s">
        <v>461</v>
      </c>
      <c r="B68" s="191">
        <v>433.94846100000001</v>
      </c>
      <c r="C68" s="191">
        <v>436.59859699999998</v>
      </c>
      <c r="D68" s="191">
        <v>438.80664899999999</v>
      </c>
      <c r="E68" s="191">
        <v>442.895261</v>
      </c>
      <c r="F68" s="191">
        <v>443.96310699999998</v>
      </c>
      <c r="G68" s="191">
        <v>445.34677599999998</v>
      </c>
    </row>
    <row r="69" spans="1:14">
      <c r="A69" s="175" t="s">
        <v>462</v>
      </c>
      <c r="B69" s="191">
        <v>433.39268600000003</v>
      </c>
      <c r="C69" s="191">
        <v>436.59859699999998</v>
      </c>
      <c r="D69" s="191">
        <v>438.80664899999999</v>
      </c>
      <c r="E69" s="191">
        <v>442.895261</v>
      </c>
      <c r="F69" s="191">
        <v>443.96310699999998</v>
      </c>
      <c r="G69" s="191">
        <v>445.34677599999998</v>
      </c>
    </row>
    <row r="70" spans="1:14">
      <c r="A70" s="175" t="s">
        <v>463</v>
      </c>
      <c r="B70" s="210">
        <v>8.26</v>
      </c>
      <c r="C70" s="210">
        <v>12</v>
      </c>
      <c r="D70" s="210">
        <v>17.28</v>
      </c>
      <c r="E70" s="210">
        <v>24.98</v>
      </c>
      <c r="F70" s="210">
        <v>35.700000000000003</v>
      </c>
      <c r="G70" s="210">
        <v>46.65</v>
      </c>
    </row>
    <row r="71" spans="1:14">
      <c r="A71" s="175" t="s">
        <v>464</v>
      </c>
      <c r="B71" s="191">
        <v>-6789.1</v>
      </c>
      <c r="C71" s="191">
        <v>-9712.4</v>
      </c>
      <c r="D71" s="191">
        <v>-7121.2</v>
      </c>
      <c r="E71" s="191">
        <v>-2682.4</v>
      </c>
      <c r="F71" s="191">
        <v>2050.027</v>
      </c>
      <c r="G71" s="191">
        <v>8044.8519999999999</v>
      </c>
    </row>
    <row r="72" spans="1:14">
      <c r="A72" s="175" t="s">
        <v>465</v>
      </c>
      <c r="B72" s="210">
        <v>-15.67</v>
      </c>
      <c r="C72" s="210">
        <v>-22.25</v>
      </c>
      <c r="D72" s="210">
        <v>-16.23</v>
      </c>
      <c r="E72" s="210">
        <v>-6.06</v>
      </c>
      <c r="F72" s="210">
        <v>4.62</v>
      </c>
      <c r="G72" s="210">
        <v>18.059999999999999</v>
      </c>
    </row>
    <row r="73" spans="1:14">
      <c r="A73" s="175" t="s">
        <v>466</v>
      </c>
      <c r="B73" s="191">
        <v>6499.4319999999998</v>
      </c>
      <c r="C73" s="191">
        <v>10360.058000000001</v>
      </c>
      <c r="D73" s="191">
        <v>16372.494000000001</v>
      </c>
      <c r="E73" s="191">
        <v>18510.826000000001</v>
      </c>
      <c r="F73" s="191">
        <v>18116.57</v>
      </c>
      <c r="G73" s="191">
        <v>16931.563999999998</v>
      </c>
      <c r="N73" s="171">
        <v>2022</v>
      </c>
    </row>
    <row r="74" spans="1:14">
      <c r="A74" s="175" t="s">
        <v>467</v>
      </c>
      <c r="B74" s="191">
        <v>3676.6370000000002</v>
      </c>
      <c r="C74" s="191">
        <v>6565.5749999999998</v>
      </c>
      <c r="D74" s="191">
        <v>11354.057000000001</v>
      </c>
      <c r="E74" s="191">
        <v>10305.276</v>
      </c>
      <c r="F74" s="191">
        <v>12088.766</v>
      </c>
      <c r="G74" s="191">
        <v>10873.111999999999</v>
      </c>
      <c r="I74" s="171">
        <f>B75/I75</f>
        <v>0.5065219940007657</v>
      </c>
      <c r="J74" s="171">
        <f t="shared" ref="J74:N74" si="4">C75/J75</f>
        <v>0.55620009250834868</v>
      </c>
      <c r="K74" s="171">
        <f t="shared" si="4"/>
        <v>0.59959488206037381</v>
      </c>
      <c r="L74" s="171">
        <f t="shared" si="4"/>
        <v>0.48221933433895559</v>
      </c>
      <c r="M74" s="171">
        <f t="shared" si="4"/>
        <v>0.43269954693272045</v>
      </c>
      <c r="N74" s="241">
        <f t="shared" si="4"/>
        <v>0.34353667506115931</v>
      </c>
    </row>
    <row r="75" spans="1:14">
      <c r="A75" s="175"/>
      <c r="B75" s="231">
        <f>B74/B61</f>
        <v>1.0264327646682427</v>
      </c>
      <c r="C75" s="231">
        <f t="shared" ref="C75:G75" si="5">C74/C61</f>
        <v>1.2532677071790774</v>
      </c>
      <c r="D75" s="231">
        <f t="shared" si="5"/>
        <v>1.4974705746662857</v>
      </c>
      <c r="E75" s="231">
        <f t="shared" si="5"/>
        <v>0.93131970025051425</v>
      </c>
      <c r="F75" s="231">
        <f t="shared" si="5"/>
        <v>0.76273435812222767</v>
      </c>
      <c r="G75" s="231">
        <f t="shared" si="5"/>
        <v>0.52331434523499831</v>
      </c>
      <c r="I75" s="232">
        <f>B75+1</f>
        <v>2.0264327646682427</v>
      </c>
      <c r="J75" s="232">
        <f t="shared" ref="J75:M75" si="6">C75+1</f>
        <v>2.2532677071790772</v>
      </c>
      <c r="K75" s="232">
        <f t="shared" si="6"/>
        <v>2.497470574666286</v>
      </c>
      <c r="L75" s="232">
        <f t="shared" si="6"/>
        <v>1.9313197002505142</v>
      </c>
      <c r="M75" s="232">
        <f t="shared" si="6"/>
        <v>1.7627343581222277</v>
      </c>
      <c r="N75" s="242">
        <f>G75+1</f>
        <v>1.5233143452349984</v>
      </c>
    </row>
    <row r="76" spans="1:14">
      <c r="A76" s="175" t="s">
        <v>468</v>
      </c>
      <c r="B76" s="191">
        <v>600</v>
      </c>
      <c r="C76" s="191">
        <v>856</v>
      </c>
      <c r="D76" s="191">
        <v>3583.1120000000001</v>
      </c>
      <c r="E76" s="191">
        <v>3524.0880000000002</v>
      </c>
      <c r="F76" s="191">
        <v>4340.5600000000004</v>
      </c>
      <c r="G76" s="191">
        <v>4867.424</v>
      </c>
      <c r="I76" s="171">
        <f>1-I74</f>
        <v>0.4934780059992343</v>
      </c>
      <c r="J76" s="171">
        <f t="shared" ref="J76:N76" si="7">1-J74</f>
        <v>0.44379990749165132</v>
      </c>
      <c r="K76" s="171">
        <f t="shared" si="7"/>
        <v>0.40040511793962619</v>
      </c>
      <c r="L76" s="171">
        <f t="shared" si="7"/>
        <v>0.51778066566104441</v>
      </c>
      <c r="M76" s="171">
        <f t="shared" si="7"/>
        <v>0.56730045306727961</v>
      </c>
      <c r="N76" s="241">
        <f t="shared" si="7"/>
        <v>0.65646332493884074</v>
      </c>
    </row>
    <row r="77" spans="1:14">
      <c r="A77" s="175" t="s">
        <v>469</v>
      </c>
      <c r="B77" s="221" t="s">
        <v>367</v>
      </c>
      <c r="C77" s="221" t="s">
        <v>367</v>
      </c>
      <c r="D77" s="221" t="s">
        <v>367</v>
      </c>
      <c r="E77" s="221" t="s">
        <v>367</v>
      </c>
      <c r="F77" s="221" t="s">
        <v>367</v>
      </c>
      <c r="G77" s="221" t="s">
        <v>367</v>
      </c>
    </row>
    <row r="78" spans="1:14">
      <c r="A78" s="175" t="s">
        <v>470</v>
      </c>
      <c r="B78" s="191" t="s">
        <v>367</v>
      </c>
      <c r="C78" s="191">
        <v>6.125</v>
      </c>
      <c r="D78" s="191">
        <v>6.125</v>
      </c>
      <c r="E78" s="191">
        <v>50.7</v>
      </c>
      <c r="F78" s="191">
        <v>82.381</v>
      </c>
      <c r="G78" s="191">
        <v>85.004999999999995</v>
      </c>
    </row>
    <row r="79" spans="1:14">
      <c r="A79" s="175" t="s">
        <v>471</v>
      </c>
      <c r="B79" s="191">
        <v>40.680999999999997</v>
      </c>
      <c r="C79" s="191">
        <v>73.468000000000004</v>
      </c>
      <c r="D79" s="191">
        <v>33.140999999999998</v>
      </c>
      <c r="E79" s="191">
        <v>42.716999999999999</v>
      </c>
      <c r="F79" s="191">
        <v>48.122999999999998</v>
      </c>
      <c r="G79" s="191">
        <v>52.106000000000002</v>
      </c>
    </row>
    <row r="80" spans="1:14">
      <c r="A80" s="175" t="s">
        <v>472</v>
      </c>
      <c r="B80" s="191">
        <v>138.572</v>
      </c>
      <c r="C80" s="191">
        <v>181.33500000000001</v>
      </c>
      <c r="D80" s="191">
        <v>242.875</v>
      </c>
      <c r="E80" s="191">
        <v>255.447</v>
      </c>
      <c r="F80" s="191">
        <v>283.21300000000002</v>
      </c>
      <c r="G80" s="191">
        <v>296.08100000000002</v>
      </c>
    </row>
    <row r="81" spans="1:7">
      <c r="A81" s="175" t="s">
        <v>473</v>
      </c>
      <c r="B81" s="191">
        <v>8.2669999999999995</v>
      </c>
      <c r="C81" s="191">
        <v>19.547999999999998</v>
      </c>
      <c r="D81" s="191">
        <v>100.521</v>
      </c>
      <c r="E81" s="191">
        <v>298.55799999999999</v>
      </c>
      <c r="F81" s="191">
        <v>282.24799999999999</v>
      </c>
      <c r="G81" s="191">
        <v>235.55500000000001</v>
      </c>
    </row>
    <row r="82" spans="1:7">
      <c r="A82" s="175" t="s">
        <v>474</v>
      </c>
      <c r="B82" s="191">
        <v>229.84800000000001</v>
      </c>
      <c r="C82" s="191">
        <v>282.02800000000002</v>
      </c>
      <c r="D82" s="191">
        <v>354.99900000000002</v>
      </c>
      <c r="E82" s="191">
        <v>524.53700000000003</v>
      </c>
      <c r="F82" s="191">
        <v>863.34199999999998</v>
      </c>
      <c r="G82" s="191">
        <v>1040.57</v>
      </c>
    </row>
    <row r="83" spans="1:7">
      <c r="A83" s="175" t="s">
        <v>475</v>
      </c>
      <c r="B83" s="233">
        <v>4800</v>
      </c>
      <c r="C83" s="233">
        <v>7100</v>
      </c>
      <c r="D83" s="233">
        <v>8600</v>
      </c>
      <c r="E83" s="233">
        <v>9400</v>
      </c>
      <c r="F83" s="233">
        <v>11300</v>
      </c>
      <c r="G83" s="233">
        <v>12800</v>
      </c>
    </row>
    <row r="84" spans="1:7">
      <c r="A84" s="175" t="s">
        <v>476</v>
      </c>
      <c r="B84" s="233">
        <v>100</v>
      </c>
      <c r="C84" s="233" t="s">
        <v>367</v>
      </c>
      <c r="D84" s="233" t="s">
        <v>367</v>
      </c>
      <c r="E84" s="233" t="s">
        <v>367</v>
      </c>
      <c r="F84" s="233" t="s">
        <v>367</v>
      </c>
      <c r="G84" s="233" t="s">
        <v>367</v>
      </c>
    </row>
    <row r="85" spans="1:7">
      <c r="A85" s="175" t="s">
        <v>382</v>
      </c>
      <c r="B85" s="219">
        <v>43859</v>
      </c>
      <c r="C85" s="219">
        <v>44224</v>
      </c>
      <c r="D85" s="219">
        <v>44588</v>
      </c>
      <c r="E85" s="219">
        <v>44588</v>
      </c>
      <c r="F85" s="219">
        <v>44952</v>
      </c>
      <c r="G85" s="219">
        <v>44952</v>
      </c>
    </row>
    <row r="86" spans="1:7">
      <c r="A86" s="175" t="s">
        <v>383</v>
      </c>
      <c r="B86" s="221" t="s">
        <v>385</v>
      </c>
      <c r="C86" s="221" t="s">
        <v>385</v>
      </c>
      <c r="D86" s="221" t="s">
        <v>477</v>
      </c>
      <c r="E86" s="221" t="s">
        <v>385</v>
      </c>
      <c r="F86" s="221" t="s">
        <v>385</v>
      </c>
      <c r="G86" s="221" t="s">
        <v>386</v>
      </c>
    </row>
    <row r="87" spans="1:7">
      <c r="A87" s="175" t="s">
        <v>387</v>
      </c>
      <c r="B87" s="221" t="s">
        <v>478</v>
      </c>
      <c r="C87" s="221" t="s">
        <v>478</v>
      </c>
      <c r="D87" s="221" t="s">
        <v>478</v>
      </c>
      <c r="E87" s="221" t="s">
        <v>388</v>
      </c>
      <c r="F87" s="221" t="s">
        <v>388</v>
      </c>
      <c r="G87" s="221" t="s">
        <v>388</v>
      </c>
    </row>
    <row r="88" spans="1:7">
      <c r="A88" s="175"/>
      <c r="B88" s="175"/>
      <c r="C88" s="175"/>
      <c r="D88" s="175"/>
      <c r="E88" s="175"/>
      <c r="F88" s="175"/>
      <c r="G88" s="175"/>
    </row>
    <row r="89" spans="1:7">
      <c r="A89" s="223"/>
      <c r="B89" s="223"/>
      <c r="C89" s="223"/>
      <c r="D89" s="223"/>
      <c r="E89" s="223"/>
      <c r="F89" s="223"/>
      <c r="G89" s="223"/>
    </row>
    <row r="90" spans="1:7">
      <c r="A90" s="171" t="s">
        <v>479</v>
      </c>
    </row>
    <row r="91" spans="1:7">
      <c r="A91" s="225" t="s">
        <v>401</v>
      </c>
    </row>
  </sheetData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_activity xmlns="7178a69d-091a-4abf-96a9-caf4893506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E4D70D57F947A82588FD8FC906DC" ma:contentTypeVersion="14" ma:contentTypeDescription="Create a new document." ma:contentTypeScope="" ma:versionID="4eb4050dc62ac96051808f77797ea4b1">
  <xsd:schema xmlns:xsd="http://www.w3.org/2001/XMLSchema" xmlns:xs="http://www.w3.org/2001/XMLSchema" xmlns:p="http://schemas.microsoft.com/office/2006/metadata/properties" xmlns:ns3="7178a69d-091a-4abf-96a9-caf4893506fa" xmlns:ns4="2012e10a-a990-4c16-8061-fa8c2697bdb5" targetNamespace="http://schemas.microsoft.com/office/2006/metadata/properties" ma:root="true" ma:fieldsID="b78e20ac70795af033f7d07442f65a46" ns3:_="" ns4:_="">
    <xsd:import namespace="7178a69d-091a-4abf-96a9-caf4893506fa"/>
    <xsd:import namespace="2012e10a-a990-4c16-8061-fa8c2697bd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8a69d-091a-4abf-96a9-caf489350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2e10a-a990-4c16-8061-fa8c2697bd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FC4F4F-E29D-4A11-A0E9-C6DEF0A579C5}"/>
</file>

<file path=customXml/itemProps2.xml><?xml version="1.0" encoding="utf-8"?>
<ds:datastoreItem xmlns:ds="http://schemas.openxmlformats.org/officeDocument/2006/customXml" ds:itemID="{8D01A1E7-2665-47EE-BB04-705C04DFF3D4}"/>
</file>

<file path=customXml/itemProps3.xml><?xml version="1.0" encoding="utf-8"?>
<ds:datastoreItem xmlns:ds="http://schemas.openxmlformats.org/officeDocument/2006/customXml" ds:itemID="{C879CD7D-3F9B-4FE1-8213-3C7A12AD0D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/>
  <cp:revision/>
  <dcterms:created xsi:type="dcterms:W3CDTF">2011-10-23T17:58:57Z</dcterms:created>
  <dcterms:modified xsi:type="dcterms:W3CDTF">2023-05-31T10:50:02Z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0x010100F881E4D70D57F947A82588FD8FC906DC</vt:lpwstr>
  </property>
</Properties>
</file>